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hidePivotFieldList="1" defaultThemeVersion="166925"/>
  <xr:revisionPtr revIDLastSave="0" documentId="13_ncr:1_{A95A49E2-3B82-49D6-BFC3-297D59D22F0C}" xr6:coauthVersionLast="46" xr6:coauthVersionMax="46" xr10:uidLastSave="{00000000-0000-0000-0000-000000000000}"/>
  <bookViews>
    <workbookView xWindow="2685" yWindow="3765" windowWidth="21285" windowHeight="11355" xr2:uid="{64A861E2-78F4-4568-A736-EA3B658A8F41}"/>
  </bookViews>
  <sheets>
    <sheet name="IGT Commitment Suggestions" sheetId="102" r:id="rId1"/>
    <sheet name="Summary" sheetId="71" r:id="rId2"/>
    <sheet name="CHIRP Payment Calc" sheetId="1" r:id="rId3"/>
    <sheet name="Fee Calc" sheetId="159" r:id="rId4"/>
    <sheet name="90% of ACR" sheetId="139" r:id="rId5"/>
    <sheet name="Final PGY4 AA Payment Summary" sheetId="83" state="hidden" r:id="rId6"/>
    <sheet name="MCO IMD Query from 2021 UPL" sheetId="8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0" localSheetId="5">#REF!</definedName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1\B">#REF!</definedName>
    <definedName name="_1_10_DSH_UPL_OP_COST">#REF!</definedName>
    <definedName name="_1_2005_BR_Provider_Totals">#REF!</definedName>
    <definedName name="_1Prov_Ident_Nbr_with_Suffi">#N/A</definedName>
    <definedName name="_2_10_DSH_UPL_OP_COST">#REF!</definedName>
    <definedName name="_2_DOCS">'[1]SFY 2008 DSH Urban TZG'!#REF!</definedName>
    <definedName name="_2Provider_City_Name">#N/A</definedName>
    <definedName name="_3Provider_Combined_Name">#N/A</definedName>
    <definedName name="_401_HHSC">#REF!</definedName>
    <definedName name="_4Provider_Street_Address_1">#N/A</definedName>
    <definedName name="_A">[2]A83I!#REF!</definedName>
    <definedName name="_DemoType">[3]LKUP!$F$7:$F$9</definedName>
    <definedName name="_Fill" localSheetId="4" hidden="1">#REF!</definedName>
    <definedName name="_Fill" localSheetId="3" hidden="1">#REF!</definedName>
    <definedName name="_Fill" localSheetId="5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4" hidden="1">'90% of ACR'!$A$3:$R$60</definedName>
    <definedName name="_xlnm._FilterDatabase" localSheetId="2" hidden="1">'CHIRP Payment Calc'!$A$5:$AS$412</definedName>
    <definedName name="_xlnm._FilterDatabase" localSheetId="5" hidden="1">'Final PGY4 AA Payment Summary'!$A$1:$M$584</definedName>
    <definedName name="_xlnm._FilterDatabase" localSheetId="0" hidden="1">'IGT Commitment Suggestions'!$A$4:$G$17</definedName>
    <definedName name="_xlnm._FilterDatabase" localSheetId="1" hidden="1">Summary!$A$4:$Q$61</definedName>
    <definedName name="_fy13">#REF!</definedName>
    <definedName name="_InvalidTemplateDemoDateRange">[3]_Controls!$C$23</definedName>
    <definedName name="_OwnershipType">[3]LKUP!$H$7:$H$9</definedName>
    <definedName name="_RetroProType">[3]LKUP!$J$7:$J$8</definedName>
    <definedName name="_SDA2004">#N/A</definedName>
    <definedName name="_ServiceType">[3]LKUP!$D$7</definedName>
    <definedName name="_StateLkUp">[3]LKUP!$B$7:$B$60</definedName>
    <definedName name="_t3">#REF!</definedName>
    <definedName name="_whatisthis" localSheetId="5">[4]DIS00!#REF!</definedName>
    <definedName name="_whatisthis">[4]DIS00!#REF!</definedName>
    <definedName name="a">#REF!</definedName>
    <definedName name="aaaaaa" localSheetId="5">[2]A83I!#REF!</definedName>
    <definedName name="aaaaaa">[2]A83I!#REF!</definedName>
    <definedName name="adj_fact" localSheetId="5">#REF!</definedName>
    <definedName name="adj_fact">#REF!</definedName>
    <definedName name="Aggregate_Cap_BR_Only">#REF!</definedName>
    <definedName name="ahsc" localSheetId="3">#REF!</definedName>
    <definedName name="ahsc">#REF!</definedName>
    <definedName name="AHSC_NPI_Data" localSheetId="3">#REF!</definedName>
    <definedName name="AHSC_NPI_Data">#REF!</definedName>
    <definedName name="AHSC_NPI_Sheet" localSheetId="3">#REF!</definedName>
    <definedName name="AHSC_NPI_Sheet">#REF!</definedName>
    <definedName name="AHSC_NPI_TIN_name">#REF!</definedName>
    <definedName name="AHSC_UPL_Truven__TX">#REF!</definedName>
    <definedName name="All_SDAs_for_DSH_Hospital_Listing">#REF!</definedName>
    <definedName name="AP87_">#REF!</definedName>
    <definedName name="b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ase18">'[5]Base Payment Calculation'!$P$7</definedName>
    <definedName name="Base19">'[5]Base Payment Calculation'!$P$16</definedName>
    <definedName name="Base20">'[5]Base Payment Calculation'!$P$25</definedName>
    <definedName name="Base21">'[5]Base Payment Calculation'!$P$34</definedName>
    <definedName name="Base22">'[5]Base Payment Calculation'!$B$44</definedName>
    <definedName name="Base23">'[5]Base Payment Calculation'!$E$44</definedName>
    <definedName name="Base24">'[5]Base Payment Calculation'!$H$44</definedName>
    <definedName name="bbbbb">[4]DIS00!#REF!</definedName>
    <definedName name="BBDRP5_8">#N/A</definedName>
    <definedName name="BBDRREST">#N/A</definedName>
    <definedName name="BexarTotal">'[6]Bexar Actuarial Adjustment'!$M$19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ccccc" localSheetId="4" hidden="1">#REF!</definedName>
    <definedName name="ccccc" localSheetId="5" hidden="1">#REF!</definedName>
    <definedName name="ccccc" localSheetId="0" hidden="1">#REF!</definedName>
    <definedName name="ccccc" localSheetId="1" hidden="1">#REF!</definedName>
    <definedName name="ccccc" hidden="1">#REF!</definedName>
    <definedName name="cccccc" localSheetId="5">[4]DIS00!#REF!</definedName>
    <definedName name="cccccc">[4]DIS00!#REF!</definedName>
    <definedName name="Cert_CCN">[7]Certification!$C$9</definedName>
    <definedName name="Cert_County">[7]Certification!$E$15</definedName>
    <definedName name="Cert_Hospital">[7]Certification!$C$5</definedName>
    <definedName name="Cert_NPI">[7]Certification!$C$11</definedName>
    <definedName name="Cert_TPI">[7]Certification!$C$13</definedName>
    <definedName name="Childrens_Adjustments">'[7]Medicaid Claims Data'!#REF!</definedName>
    <definedName name="combined_cap" localSheetId="5">#REF!</definedName>
    <definedName name="combined_cap">#REF!</definedName>
    <definedName name="Component_3_data" localSheetId="3">#REF!</definedName>
    <definedName name="Component_3_data">#REF!</definedName>
    <definedName name="COPYMsUMMARY">#REF!</definedName>
    <definedName name="COUNTY">#N/A</definedName>
    <definedName name="Create_Summary_by_TPI" localSheetId="5">#REF!</definedName>
    <definedName name="Create_Summary_by_TPI">#REF!</definedName>
    <definedName name="CstRpt_B">[7]Certification!$E$32</definedName>
    <definedName name="CstRpt_E">[7]Certification!$E$34</definedName>
    <definedName name="CstRpt_S">[7]Certification!$E$36</definedName>
    <definedName name="Data_Year">[7]Certification!$C$42</definedName>
    <definedName name="_xlnm.Database">#REF!</definedName>
    <definedName name="Demo_Year">[7]Certification!$C$36</definedName>
    <definedName name="Documentation">'[8]3 - Review Tracker'!#REF!</definedName>
    <definedName name="DSH_Flag">[8]Checks!$L$3</definedName>
    <definedName name="DSH_IND">[9]Checks!$J$3</definedName>
    <definedName name="DSH_INFLATOR">'[7]Sched 4-DSH State Pmt Cap'!$B$24</definedName>
    <definedName name="DV_Rule_2">[3]LKUP!$O$8</definedName>
    <definedName name="DV_Rule_3">[3]LKUP!$O$9</definedName>
    <definedName name="DV_Rule_4">[3]LKUP!$O$10</definedName>
    <definedName name="DV_Rule_5">[3]LKUP!$O$11</definedName>
    <definedName name="DY_Begin">'[10]Austin Summary'!$N$22</definedName>
    <definedName name="DY_End">'[10]Austin Summary'!$P$22</definedName>
    <definedName name="eeeeee" localSheetId="5">#REF!</definedName>
    <definedName name="eeeeee">#REF!</definedName>
    <definedName name="Estimated_HSL">'[11]Estimated HSL FFY 2011'!$A$2:$D$185</definedName>
    <definedName name="ExportDataSource" localSheetId="5">#REF!</definedName>
    <definedName name="ExportDataSource">#REF!</definedName>
    <definedName name="fdsfd" localSheetId="3">#REF!</definedName>
    <definedName name="fdsfd">#REF!</definedName>
    <definedName name="fff">#REF!</definedName>
    <definedName name="Final_Datasheet_03_05_2013">#REF!</definedName>
    <definedName name="FYEnd">[7]Certification!$E$38</definedName>
    <definedName name="GENERAL">#REF!</definedName>
    <definedName name="HD_Tot_State_Local">'[7]Hospital Data'!$I$64+'[7]Hospital Data'!$I$85+'[7]Hospital Data'!$I$105</definedName>
    <definedName name="HD_TotRev_Allowable">'[7]Hospital Data'!$G$125</definedName>
    <definedName name="HOME">#REF!</definedName>
    <definedName name="HospitalClass">'[12]Hospital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MD_Count">[3]_Controls!$C$3</definedName>
    <definedName name="IME_NPI_Data" localSheetId="3">#REF!</definedName>
    <definedName name="IME_NPI_Data">#REF!</definedName>
    <definedName name="IME_NPI_Sheet" localSheetId="3">#REF!</definedName>
    <definedName name="IME_NPI_Sheet">#REF!</definedName>
    <definedName name="IME_NPI_TIN_name" localSheetId="3">#REF!</definedName>
    <definedName name="IME_NPI_TIN_name">#REF!</definedName>
    <definedName name="IME_UPL_Truven__TX">#REF!</definedName>
    <definedName name="imppuf_091001">#REF!</definedName>
    <definedName name="inf_0304">#REF!</definedName>
    <definedName name="inf_0405">#REF!</definedName>
    <definedName name="Inpatient_UPL_Demo">#REF!</definedName>
    <definedName name="Inpatient_UPL_Demo_MSDRG_RW_Compare">#REF!</definedName>
    <definedName name="INRR_614_PRELIM">#REF!</definedName>
    <definedName name="INRR_614_W_EFFECTIVE_DATES">#REF!</definedName>
    <definedName name="INRR_625B">#REF!</definedName>
    <definedName name="INRR520A2012BluerRibbonFinalWAPRDRG">#REF!</definedName>
    <definedName name="INRR615__PROV_PDI_PRELIM_4">#REF!</definedName>
    <definedName name="INRR625_DRGS">#REF!</definedName>
    <definedName name="INRR625D_080310">#REF!</definedName>
    <definedName name="LARRY">#REF!</definedName>
    <definedName name="LINE69">#REF!</definedName>
    <definedName name="MAP">#REF!</definedName>
    <definedName name="nbdgd">#REF!</definedName>
    <definedName name="NPI_Ind">[9]Checks!$F$35</definedName>
    <definedName name="OffsetValue" localSheetId="3">#REF!</definedName>
    <definedName name="OffsetValue">#REF!</definedName>
    <definedName name="Ownership_List" localSheetId="5">#REF!</definedName>
    <definedName name="Ownership_List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ayment_Count">[13]_Controls!$C$4</definedName>
    <definedName name="PG1BDR">#N/A</definedName>
    <definedName name="PG2_4BDR">#REF!</definedName>
    <definedName name="PG5_8BDR">#REF!</definedName>
    <definedName name="Prgm_Year">[7]Certification!$C$38</definedName>
    <definedName name="_xlnm.Print_Area">#REF!</definedName>
    <definedName name="Print_Area_1">#REF!</definedName>
    <definedName name="Print_Area_MI">#REF!</definedName>
    <definedName name="_xlnm.Print_Titles">#REF!</definedName>
    <definedName name="Q02a___Rebasing_TPI_Rural_Cnt">#REF!</definedName>
    <definedName name="qry_OP_UPL">#REF!</definedName>
    <definedName name="qry_total_IP_days">#REF!</definedName>
    <definedName name="regions">#REF!</definedName>
    <definedName name="RENAL">#REF!</definedName>
    <definedName name="RESTBDR">#REF!</definedName>
    <definedName name="rrrrrr">#REF!</definedName>
    <definedName name="SCH1A">#REF!</definedName>
    <definedName name="SDA_RATES_FOR_MAILOUT_II">#REF!</definedName>
    <definedName name="selection_adj">[14]Assumptions!$L$25</definedName>
    <definedName name="sort1_beg" localSheetId="5">#REF!</definedName>
    <definedName name="sort1_beg">#REF!</definedName>
    <definedName name="sort1_col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TAR_MCO_Factor">[15]assumptions!$B$7</definedName>
    <definedName name="STARPLUS_MCO_Factor">[15]assumptions!$B$8</definedName>
    <definedName name="STATE_OWNED_with_Outlier_and_Inflation" localSheetId="5">#REF!</definedName>
    <definedName name="STATE_OWNED_with_Outlier_and_Inflation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>#REF!</definedName>
    <definedName name="tm_4093645264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otal_MCO_Payments_and_Charges">#REF!</definedName>
    <definedName name="TotalActiveRecords">[3]_Controls!$C$4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 localSheetId="5">'[16] Cost Report Settlements'!#REF!</definedName>
    <definedName name="Traditional_Settlements_Between_10_1_2013___9_30_2014">'[16] Cost Report Settlements'!#REF!</definedName>
    <definedName name="trend">[14]Assumptions!$A$14:$D$19</definedName>
    <definedName name="tttttt" localSheetId="5">#REF!</definedName>
    <definedName name="tttttt">#REF!</definedName>
    <definedName name="UP" localSheetId="3">#REF!</definedName>
    <definedName name="UP">#REF!</definedName>
    <definedName name="YEAR_BEGIN_1">'[11]DSH Year Totals'!$A$4</definedName>
    <definedName name="YEAR_END_1">'[11]DSH Year Totals'!$B$4</definedName>
    <definedName name="YR2QRTS">#REF!</definedName>
    <definedName name="YR3QR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59" l="1"/>
  <c r="L7" i="159"/>
  <c r="L8" i="159"/>
  <c r="L9" i="159"/>
  <c r="L10" i="159"/>
  <c r="L11" i="159"/>
  <c r="L12" i="159"/>
  <c r="L13" i="159"/>
  <c r="L14" i="159"/>
  <c r="L15" i="159"/>
  <c r="L16" i="159"/>
  <c r="L17" i="159"/>
  <c r="L18" i="159"/>
  <c r="L19" i="159"/>
  <c r="L20" i="159"/>
  <c r="L21" i="159"/>
  <c r="L22" i="159"/>
  <c r="L23" i="159"/>
  <c r="L24" i="159"/>
  <c r="L25" i="159"/>
  <c r="L26" i="159"/>
  <c r="L27" i="159"/>
  <c r="L28" i="159"/>
  <c r="L29" i="159"/>
  <c r="L30" i="159"/>
  <c r="L31" i="159"/>
  <c r="L32" i="159"/>
  <c r="L33" i="159"/>
  <c r="L34" i="159"/>
  <c r="L35" i="159"/>
  <c r="L36" i="159"/>
  <c r="L37" i="159"/>
  <c r="L38" i="159"/>
  <c r="L39" i="159"/>
  <c r="L40" i="159"/>
  <c r="L41" i="159"/>
  <c r="L42" i="159"/>
  <c r="L43" i="159"/>
  <c r="L44" i="159"/>
  <c r="L45" i="159"/>
  <c r="L46" i="159"/>
  <c r="J384" i="1" s="1"/>
  <c r="L47" i="159"/>
  <c r="L48" i="159"/>
  <c r="L49" i="159"/>
  <c r="L50" i="159"/>
  <c r="L51" i="159"/>
  <c r="L52" i="159"/>
  <c r="L53" i="159"/>
  <c r="L54" i="159"/>
  <c r="L55" i="159"/>
  <c r="L56" i="159"/>
  <c r="L57" i="159"/>
  <c r="L58" i="159"/>
  <c r="L59" i="159"/>
  <c r="L60" i="159"/>
  <c r="L61" i="159"/>
  <c r="L62" i="159"/>
  <c r="L63" i="159"/>
  <c r="L64" i="159"/>
  <c r="L65" i="159"/>
  <c r="L66" i="159"/>
  <c r="L67" i="159"/>
  <c r="L68" i="159"/>
  <c r="L69" i="159"/>
  <c r="L70" i="159"/>
  <c r="L71" i="159"/>
  <c r="L72" i="159"/>
  <c r="L73" i="159"/>
  <c r="L74" i="159"/>
  <c r="L75" i="159"/>
  <c r="L76" i="159"/>
  <c r="L77" i="159"/>
  <c r="L78" i="159"/>
  <c r="L79" i="159"/>
  <c r="L80" i="159"/>
  <c r="L81" i="159"/>
  <c r="L82" i="159"/>
  <c r="L83" i="159"/>
  <c r="L84" i="159"/>
  <c r="L85" i="159"/>
  <c r="L86" i="159"/>
  <c r="L87" i="159"/>
  <c r="L88" i="159"/>
  <c r="L89" i="159"/>
  <c r="L90" i="159"/>
  <c r="L91" i="159"/>
  <c r="L92" i="159"/>
  <c r="L93" i="159"/>
  <c r="L94" i="159"/>
  <c r="L95" i="159"/>
  <c r="L96" i="159"/>
  <c r="L97" i="159"/>
  <c r="L98" i="159"/>
  <c r="L99" i="159"/>
  <c r="L100" i="159"/>
  <c r="L101" i="159"/>
  <c r="L102" i="159"/>
  <c r="L103" i="159"/>
  <c r="L104" i="159"/>
  <c r="L105" i="159"/>
  <c r="L106" i="159"/>
  <c r="L107" i="159"/>
  <c r="L108" i="159"/>
  <c r="L109" i="159"/>
  <c r="L110" i="159"/>
  <c r="L111" i="159"/>
  <c r="L112" i="159"/>
  <c r="L113" i="159"/>
  <c r="L114" i="159"/>
  <c r="L115" i="159"/>
  <c r="L116" i="159"/>
  <c r="L117" i="159"/>
  <c r="L118" i="159"/>
  <c r="L119" i="159"/>
  <c r="L120" i="159"/>
  <c r="L121" i="159"/>
  <c r="L122" i="159"/>
  <c r="L123" i="159"/>
  <c r="L124" i="159"/>
  <c r="L125" i="159"/>
  <c r="L126" i="159"/>
  <c r="L127" i="159"/>
  <c r="L128" i="159"/>
  <c r="L129" i="159"/>
  <c r="J226" i="1" s="1"/>
  <c r="L130" i="159"/>
  <c r="L131" i="159"/>
  <c r="L132" i="159"/>
  <c r="L133" i="159"/>
  <c r="L134" i="159"/>
  <c r="L135" i="159"/>
  <c r="L136" i="159"/>
  <c r="L137" i="159"/>
  <c r="L138" i="159"/>
  <c r="L139" i="159"/>
  <c r="L140" i="159"/>
  <c r="L141" i="159"/>
  <c r="L142" i="159"/>
  <c r="L143" i="159"/>
  <c r="L144" i="159"/>
  <c r="L145" i="159"/>
  <c r="L146" i="159"/>
  <c r="L147" i="159"/>
  <c r="L148" i="159"/>
  <c r="L149" i="159"/>
  <c r="L150" i="159"/>
  <c r="L151" i="159"/>
  <c r="L152" i="159"/>
  <c r="L153" i="159"/>
  <c r="L154" i="159"/>
  <c r="L155" i="159"/>
  <c r="L156" i="159"/>
  <c r="L157" i="159"/>
  <c r="L158" i="159"/>
  <c r="L159" i="159"/>
  <c r="L160" i="159"/>
  <c r="L161" i="159"/>
  <c r="L162" i="159"/>
  <c r="L163" i="159"/>
  <c r="L164" i="159"/>
  <c r="L165" i="159"/>
  <c r="L166" i="159"/>
  <c r="L167" i="159"/>
  <c r="L168" i="159"/>
  <c r="L169" i="159"/>
  <c r="L170" i="159"/>
  <c r="L171" i="159"/>
  <c r="L172" i="159"/>
  <c r="L173" i="159"/>
  <c r="L174" i="159"/>
  <c r="L175" i="159"/>
  <c r="L176" i="159"/>
  <c r="L177" i="159"/>
  <c r="L178" i="159"/>
  <c r="L179" i="159"/>
  <c r="J256" i="1" s="1"/>
  <c r="L180" i="159"/>
  <c r="L181" i="159"/>
  <c r="L182" i="159"/>
  <c r="L183" i="159"/>
  <c r="L184" i="159"/>
  <c r="L185" i="159"/>
  <c r="L186" i="159"/>
  <c r="L187" i="159"/>
  <c r="L188" i="159"/>
  <c r="L189" i="159"/>
  <c r="L190" i="159"/>
  <c r="L191" i="159"/>
  <c r="L192" i="159"/>
  <c r="L193" i="159"/>
  <c r="L194" i="159"/>
  <c r="L195" i="159"/>
  <c r="L196" i="159"/>
  <c r="L197" i="159"/>
  <c r="L198" i="159"/>
  <c r="L199" i="159"/>
  <c r="L200" i="159"/>
  <c r="L201" i="159"/>
  <c r="L202" i="159"/>
  <c r="L203" i="159"/>
  <c r="L204" i="159"/>
  <c r="L205" i="159"/>
  <c r="L206" i="159"/>
  <c r="L207" i="159"/>
  <c r="L208" i="159"/>
  <c r="J252" i="1" s="1"/>
  <c r="L209" i="159"/>
  <c r="L210" i="159"/>
  <c r="L211" i="159"/>
  <c r="L212" i="159"/>
  <c r="L213" i="159"/>
  <c r="L214" i="159"/>
  <c r="L215" i="159"/>
  <c r="L216" i="159"/>
  <c r="L217" i="159"/>
  <c r="L218" i="159"/>
  <c r="L219" i="159"/>
  <c r="L220" i="159"/>
  <c r="L221" i="159"/>
  <c r="L222" i="159"/>
  <c r="L223" i="159"/>
  <c r="L224" i="159"/>
  <c r="L225" i="159"/>
  <c r="L226" i="159"/>
  <c r="L227" i="159"/>
  <c r="L228" i="159"/>
  <c r="L229" i="159"/>
  <c r="L230" i="159"/>
  <c r="L231" i="159"/>
  <c r="L232" i="159"/>
  <c r="L233" i="159"/>
  <c r="L234" i="159"/>
  <c r="L235" i="159"/>
  <c r="L236" i="159"/>
  <c r="L237" i="159"/>
  <c r="L238" i="159"/>
  <c r="L239" i="159"/>
  <c r="L240" i="159"/>
  <c r="L241" i="159"/>
  <c r="L242" i="159"/>
  <c r="L243" i="159"/>
  <c r="L244" i="159"/>
  <c r="L245" i="159"/>
  <c r="L246" i="159"/>
  <c r="L247" i="159"/>
  <c r="L248" i="159"/>
  <c r="L249" i="159"/>
  <c r="L250" i="159"/>
  <c r="L251" i="159"/>
  <c r="L252" i="159"/>
  <c r="L253" i="159"/>
  <c r="L254" i="159"/>
  <c r="L255" i="159"/>
  <c r="L256" i="159"/>
  <c r="L257" i="159"/>
  <c r="L258" i="159"/>
  <c r="L259" i="159"/>
  <c r="L260" i="159"/>
  <c r="L261" i="159"/>
  <c r="L262" i="159"/>
  <c r="L263" i="159"/>
  <c r="L264" i="159"/>
  <c r="L265" i="159"/>
  <c r="L266" i="159"/>
  <c r="L267" i="159"/>
  <c r="L268" i="159"/>
  <c r="L269" i="159"/>
  <c r="L270" i="159"/>
  <c r="L271" i="159"/>
  <c r="L272" i="159"/>
  <c r="L273" i="159"/>
  <c r="L274" i="159"/>
  <c r="L275" i="159"/>
  <c r="L276" i="159"/>
  <c r="L277" i="159"/>
  <c r="L278" i="159"/>
  <c r="L279" i="159"/>
  <c r="L280" i="159"/>
  <c r="L281" i="159"/>
  <c r="L282" i="159"/>
  <c r="L283" i="159"/>
  <c r="L284" i="159"/>
  <c r="L285" i="159"/>
  <c r="L286" i="159"/>
  <c r="L287" i="159"/>
  <c r="L288" i="159"/>
  <c r="L289" i="159"/>
  <c r="L290" i="159"/>
  <c r="L291" i="159"/>
  <c r="L292" i="159"/>
  <c r="L293" i="159"/>
  <c r="L294" i="159"/>
  <c r="L295" i="159"/>
  <c r="L296" i="159"/>
  <c r="L297" i="159"/>
  <c r="L298" i="159"/>
  <c r="L299" i="159"/>
  <c r="L300" i="159"/>
  <c r="L301" i="159"/>
  <c r="L302" i="159"/>
  <c r="L303" i="159"/>
  <c r="L304" i="159"/>
  <c r="L305" i="159"/>
  <c r="L306" i="159"/>
  <c r="L307" i="159"/>
  <c r="L308" i="159"/>
  <c r="L309" i="159"/>
  <c r="L310" i="159"/>
  <c r="L311" i="159"/>
  <c r="L312" i="159"/>
  <c r="L313" i="159"/>
  <c r="L314" i="159"/>
  <c r="L315" i="159"/>
  <c r="L316" i="159"/>
  <c r="L317" i="159"/>
  <c r="L318" i="159"/>
  <c r="L319" i="159"/>
  <c r="L320" i="159"/>
  <c r="L321" i="159"/>
  <c r="J241" i="1" s="1"/>
  <c r="L322" i="159"/>
  <c r="L323" i="159"/>
  <c r="L324" i="159"/>
  <c r="L325" i="159"/>
  <c r="L326" i="159"/>
  <c r="L327" i="159"/>
  <c r="L328" i="159"/>
  <c r="L329" i="159"/>
  <c r="L330" i="159"/>
  <c r="L331" i="159"/>
  <c r="L332" i="159"/>
  <c r="L333" i="159"/>
  <c r="L334" i="159"/>
  <c r="L335" i="159"/>
  <c r="L336" i="159"/>
  <c r="L337" i="159"/>
  <c r="L338" i="159"/>
  <c r="L339" i="159"/>
  <c r="L340" i="159"/>
  <c r="L341" i="159"/>
  <c r="L342" i="159"/>
  <c r="L343" i="159"/>
  <c r="L344" i="159"/>
  <c r="L345" i="159"/>
  <c r="L346" i="159"/>
  <c r="L347" i="159"/>
  <c r="L348" i="159"/>
  <c r="L349" i="159"/>
  <c r="L350" i="159"/>
  <c r="J369" i="1" s="1"/>
  <c r="L351" i="159"/>
  <c r="L352" i="159"/>
  <c r="L353" i="159"/>
  <c r="L354" i="159"/>
  <c r="L355" i="159"/>
  <c r="L356" i="159"/>
  <c r="L357" i="159"/>
  <c r="L358" i="159"/>
  <c r="L359" i="159"/>
  <c r="L360" i="159"/>
  <c r="L361" i="159"/>
  <c r="L362" i="159"/>
  <c r="L363" i="159"/>
  <c r="L364" i="159"/>
  <c r="L365" i="159"/>
  <c r="L366" i="159"/>
  <c r="J385" i="1" s="1"/>
  <c r="L367" i="159"/>
  <c r="L368" i="159"/>
  <c r="L369" i="159"/>
  <c r="L370" i="159"/>
  <c r="L371" i="159"/>
  <c r="L372" i="159"/>
  <c r="L373" i="159"/>
  <c r="L374" i="159"/>
  <c r="L375" i="159"/>
  <c r="L376" i="159"/>
  <c r="L377" i="159"/>
  <c r="L378" i="159"/>
  <c r="L379" i="159"/>
  <c r="L380" i="159"/>
  <c r="L381" i="159"/>
  <c r="L382" i="159"/>
  <c r="L383" i="159"/>
  <c r="L384" i="159"/>
  <c r="L385" i="159"/>
  <c r="L386" i="159"/>
  <c r="L387" i="159"/>
  <c r="L388" i="159"/>
  <c r="L389" i="159"/>
  <c r="L390" i="159"/>
  <c r="L391" i="159"/>
  <c r="L392" i="159"/>
  <c r="L393" i="159"/>
  <c r="L394" i="159"/>
  <c r="L395" i="159"/>
  <c r="L396" i="159"/>
  <c r="L397" i="159"/>
  <c r="L398" i="159"/>
  <c r="L399" i="159"/>
  <c r="L400" i="159"/>
  <c r="L401" i="159"/>
  <c r="L402" i="159"/>
  <c r="L403" i="159"/>
  <c r="L404" i="159"/>
  <c r="L405" i="159"/>
  <c r="L406" i="159"/>
  <c r="L407" i="159"/>
  <c r="L408" i="159"/>
  <c r="L409" i="159"/>
  <c r="L410" i="159"/>
  <c r="L411" i="159"/>
  <c r="M6" i="159"/>
  <c r="M7" i="159"/>
  <c r="M8" i="159"/>
  <c r="M9" i="159"/>
  <c r="M10" i="159"/>
  <c r="M11" i="159"/>
  <c r="M12" i="159"/>
  <c r="M13" i="159"/>
  <c r="M14" i="159"/>
  <c r="M15" i="159"/>
  <c r="M16" i="159"/>
  <c r="M17" i="159"/>
  <c r="M18" i="159"/>
  <c r="M19" i="159"/>
  <c r="M20" i="159"/>
  <c r="M21" i="159"/>
  <c r="M22" i="159"/>
  <c r="M23" i="159"/>
  <c r="M24" i="159"/>
  <c r="M25" i="159"/>
  <c r="M26" i="159"/>
  <c r="M27" i="159"/>
  <c r="M28" i="159"/>
  <c r="M29" i="159"/>
  <c r="M30" i="159"/>
  <c r="M31" i="159"/>
  <c r="M32" i="159"/>
  <c r="M33" i="159"/>
  <c r="M34" i="159"/>
  <c r="M35" i="159"/>
  <c r="M36" i="159"/>
  <c r="M37" i="159"/>
  <c r="M38" i="159"/>
  <c r="M39" i="159"/>
  <c r="M40" i="159"/>
  <c r="M41" i="159"/>
  <c r="M42" i="159"/>
  <c r="M43" i="159"/>
  <c r="M44" i="159"/>
  <c r="M45" i="159"/>
  <c r="M46" i="159"/>
  <c r="I384" i="1" s="1"/>
  <c r="M47" i="159"/>
  <c r="M48" i="159"/>
  <c r="M49" i="159"/>
  <c r="M50" i="159"/>
  <c r="M51" i="159"/>
  <c r="M52" i="159"/>
  <c r="M53" i="159"/>
  <c r="M54" i="159"/>
  <c r="M55" i="159"/>
  <c r="M56" i="159"/>
  <c r="M57" i="159"/>
  <c r="M58" i="159"/>
  <c r="M59" i="159"/>
  <c r="M60" i="159"/>
  <c r="M61" i="159"/>
  <c r="M62" i="159"/>
  <c r="M63" i="159"/>
  <c r="M64" i="159"/>
  <c r="M65" i="159"/>
  <c r="M66" i="159"/>
  <c r="M67" i="159"/>
  <c r="M68" i="159"/>
  <c r="M69" i="159"/>
  <c r="M70" i="159"/>
  <c r="M71" i="159"/>
  <c r="M72" i="159"/>
  <c r="M73" i="159"/>
  <c r="M74" i="159"/>
  <c r="M75" i="159"/>
  <c r="M76" i="159"/>
  <c r="M77" i="159"/>
  <c r="M78" i="159"/>
  <c r="M79" i="159"/>
  <c r="M80" i="159"/>
  <c r="M81" i="159"/>
  <c r="M82" i="159"/>
  <c r="M83" i="159"/>
  <c r="M84" i="159"/>
  <c r="M85" i="159"/>
  <c r="M86" i="159"/>
  <c r="M87" i="159"/>
  <c r="M88" i="159"/>
  <c r="M89" i="159"/>
  <c r="M90" i="159"/>
  <c r="M91" i="159"/>
  <c r="M92" i="159"/>
  <c r="M93" i="159"/>
  <c r="M94" i="159"/>
  <c r="M95" i="159"/>
  <c r="M96" i="159"/>
  <c r="M97" i="159"/>
  <c r="M98" i="159"/>
  <c r="M99" i="159"/>
  <c r="M100" i="159"/>
  <c r="M101" i="159"/>
  <c r="M102" i="159"/>
  <c r="M103" i="159"/>
  <c r="M104" i="159"/>
  <c r="M105" i="159"/>
  <c r="M106" i="159"/>
  <c r="M107" i="159"/>
  <c r="M108" i="159"/>
  <c r="M109" i="159"/>
  <c r="M110" i="159"/>
  <c r="M111" i="159"/>
  <c r="M112" i="159"/>
  <c r="M113" i="159"/>
  <c r="M114" i="159"/>
  <c r="M115" i="159"/>
  <c r="M116" i="159"/>
  <c r="M117" i="159"/>
  <c r="M118" i="159"/>
  <c r="M119" i="159"/>
  <c r="M120" i="159"/>
  <c r="M121" i="159"/>
  <c r="M122" i="159"/>
  <c r="M123" i="159"/>
  <c r="M124" i="159"/>
  <c r="M125" i="159"/>
  <c r="M126" i="159"/>
  <c r="M127" i="159"/>
  <c r="M128" i="159"/>
  <c r="M129" i="159"/>
  <c r="I226" i="1" s="1"/>
  <c r="M130" i="159"/>
  <c r="M131" i="159"/>
  <c r="M132" i="159"/>
  <c r="M133" i="159"/>
  <c r="M134" i="159"/>
  <c r="M135" i="159"/>
  <c r="M136" i="159"/>
  <c r="M137" i="159"/>
  <c r="M138" i="159"/>
  <c r="M139" i="159"/>
  <c r="M140" i="159"/>
  <c r="M141" i="159"/>
  <c r="M142" i="159"/>
  <c r="M143" i="159"/>
  <c r="M144" i="159"/>
  <c r="M145" i="159"/>
  <c r="M146" i="159"/>
  <c r="M147" i="159"/>
  <c r="M148" i="159"/>
  <c r="M149" i="159"/>
  <c r="M150" i="159"/>
  <c r="M151" i="159"/>
  <c r="M152" i="159"/>
  <c r="M153" i="159"/>
  <c r="M154" i="159"/>
  <c r="M155" i="159"/>
  <c r="M156" i="159"/>
  <c r="M157" i="159"/>
  <c r="M158" i="159"/>
  <c r="M159" i="159"/>
  <c r="M160" i="159"/>
  <c r="M161" i="159"/>
  <c r="M162" i="159"/>
  <c r="M163" i="159"/>
  <c r="M164" i="159"/>
  <c r="M165" i="159"/>
  <c r="M166" i="159"/>
  <c r="M167" i="159"/>
  <c r="M168" i="159"/>
  <c r="M169" i="159"/>
  <c r="M170" i="159"/>
  <c r="M171" i="159"/>
  <c r="M172" i="159"/>
  <c r="M173" i="159"/>
  <c r="M174" i="159"/>
  <c r="M175" i="159"/>
  <c r="M176" i="159"/>
  <c r="M177" i="159"/>
  <c r="M178" i="159"/>
  <c r="M179" i="159"/>
  <c r="I256" i="1" s="1"/>
  <c r="M180" i="159"/>
  <c r="M181" i="159"/>
  <c r="M182" i="159"/>
  <c r="M183" i="159"/>
  <c r="M184" i="159"/>
  <c r="M185" i="159"/>
  <c r="M186" i="159"/>
  <c r="M187" i="159"/>
  <c r="M188" i="159"/>
  <c r="M189" i="159"/>
  <c r="M190" i="159"/>
  <c r="M191" i="159"/>
  <c r="M192" i="159"/>
  <c r="M193" i="159"/>
  <c r="M194" i="159"/>
  <c r="M195" i="159"/>
  <c r="M196" i="159"/>
  <c r="M197" i="159"/>
  <c r="M198" i="159"/>
  <c r="M199" i="159"/>
  <c r="M200" i="159"/>
  <c r="M201" i="159"/>
  <c r="M202" i="159"/>
  <c r="M203" i="159"/>
  <c r="M204" i="159"/>
  <c r="M205" i="159"/>
  <c r="M206" i="159"/>
  <c r="M207" i="159"/>
  <c r="M208" i="159"/>
  <c r="I252" i="1" s="1"/>
  <c r="M209" i="159"/>
  <c r="M210" i="159"/>
  <c r="M211" i="159"/>
  <c r="M212" i="159"/>
  <c r="M213" i="159"/>
  <c r="M214" i="159"/>
  <c r="M215" i="159"/>
  <c r="M216" i="159"/>
  <c r="M217" i="159"/>
  <c r="M218" i="159"/>
  <c r="M219" i="159"/>
  <c r="M220" i="159"/>
  <c r="M221" i="159"/>
  <c r="M222" i="159"/>
  <c r="M223" i="159"/>
  <c r="M224" i="159"/>
  <c r="M225" i="159"/>
  <c r="M226" i="159"/>
  <c r="M227" i="159"/>
  <c r="M228" i="159"/>
  <c r="M229" i="159"/>
  <c r="M230" i="159"/>
  <c r="M231" i="159"/>
  <c r="M232" i="159"/>
  <c r="M233" i="159"/>
  <c r="M234" i="159"/>
  <c r="M235" i="159"/>
  <c r="M236" i="159"/>
  <c r="M237" i="159"/>
  <c r="M238" i="159"/>
  <c r="M239" i="159"/>
  <c r="M240" i="159"/>
  <c r="M241" i="159"/>
  <c r="M242" i="159"/>
  <c r="M243" i="159"/>
  <c r="M244" i="159"/>
  <c r="M245" i="159"/>
  <c r="M246" i="159"/>
  <c r="M247" i="159"/>
  <c r="M248" i="159"/>
  <c r="M249" i="159"/>
  <c r="M250" i="159"/>
  <c r="M251" i="159"/>
  <c r="M252" i="159"/>
  <c r="M253" i="159"/>
  <c r="M254" i="159"/>
  <c r="M255" i="159"/>
  <c r="M256" i="159"/>
  <c r="M257" i="159"/>
  <c r="M258" i="159"/>
  <c r="M259" i="159"/>
  <c r="M260" i="159"/>
  <c r="M261" i="159"/>
  <c r="M262" i="159"/>
  <c r="M263" i="159"/>
  <c r="M264" i="159"/>
  <c r="M265" i="159"/>
  <c r="M266" i="159"/>
  <c r="M267" i="159"/>
  <c r="M268" i="159"/>
  <c r="M269" i="159"/>
  <c r="M270" i="159"/>
  <c r="M271" i="159"/>
  <c r="M272" i="159"/>
  <c r="M273" i="159"/>
  <c r="M274" i="159"/>
  <c r="M275" i="159"/>
  <c r="M276" i="159"/>
  <c r="M277" i="159"/>
  <c r="M278" i="159"/>
  <c r="M279" i="159"/>
  <c r="M280" i="159"/>
  <c r="M281" i="159"/>
  <c r="M282" i="159"/>
  <c r="M283" i="159"/>
  <c r="M284" i="159"/>
  <c r="M285" i="159"/>
  <c r="M286" i="159"/>
  <c r="M287" i="159"/>
  <c r="M288" i="159"/>
  <c r="M289" i="159"/>
  <c r="M290" i="159"/>
  <c r="M291" i="159"/>
  <c r="M292" i="159"/>
  <c r="M293" i="159"/>
  <c r="M294" i="159"/>
  <c r="M295" i="159"/>
  <c r="M296" i="159"/>
  <c r="M297" i="159"/>
  <c r="M298" i="159"/>
  <c r="M299" i="159"/>
  <c r="M300" i="159"/>
  <c r="M301" i="159"/>
  <c r="M302" i="159"/>
  <c r="M303" i="159"/>
  <c r="M304" i="159"/>
  <c r="M305" i="159"/>
  <c r="M306" i="159"/>
  <c r="M307" i="159"/>
  <c r="M308" i="159"/>
  <c r="M309" i="159"/>
  <c r="M310" i="159"/>
  <c r="M311" i="159"/>
  <c r="M312" i="159"/>
  <c r="M313" i="159"/>
  <c r="M314" i="159"/>
  <c r="M315" i="159"/>
  <c r="M316" i="159"/>
  <c r="M317" i="159"/>
  <c r="M318" i="159"/>
  <c r="M319" i="159"/>
  <c r="M320" i="159"/>
  <c r="M321" i="159"/>
  <c r="I241" i="1" s="1"/>
  <c r="M322" i="159"/>
  <c r="M323" i="159"/>
  <c r="M324" i="159"/>
  <c r="M325" i="159"/>
  <c r="M326" i="159"/>
  <c r="M327" i="159"/>
  <c r="M328" i="159"/>
  <c r="M329" i="159"/>
  <c r="M330" i="159"/>
  <c r="M331" i="159"/>
  <c r="M332" i="159"/>
  <c r="M333" i="159"/>
  <c r="M334" i="159"/>
  <c r="M335" i="159"/>
  <c r="M336" i="159"/>
  <c r="M337" i="159"/>
  <c r="M338" i="159"/>
  <c r="M339" i="159"/>
  <c r="M340" i="159"/>
  <c r="M341" i="159"/>
  <c r="M342" i="159"/>
  <c r="M343" i="159"/>
  <c r="M344" i="159"/>
  <c r="M345" i="159"/>
  <c r="M346" i="159"/>
  <c r="M347" i="159"/>
  <c r="M348" i="159"/>
  <c r="M349" i="159"/>
  <c r="M350" i="159"/>
  <c r="I369" i="1" s="1"/>
  <c r="M351" i="159"/>
  <c r="M352" i="159"/>
  <c r="M353" i="159"/>
  <c r="M354" i="159"/>
  <c r="M355" i="159"/>
  <c r="M356" i="159"/>
  <c r="M357" i="159"/>
  <c r="M358" i="159"/>
  <c r="M359" i="159"/>
  <c r="M360" i="159"/>
  <c r="M361" i="159"/>
  <c r="M362" i="159"/>
  <c r="M363" i="159"/>
  <c r="M364" i="159"/>
  <c r="M365" i="159"/>
  <c r="M366" i="159"/>
  <c r="I385" i="1" s="1"/>
  <c r="M367" i="159"/>
  <c r="M368" i="159"/>
  <c r="M369" i="159"/>
  <c r="M370" i="159"/>
  <c r="M371" i="159"/>
  <c r="M372" i="159"/>
  <c r="M373" i="159"/>
  <c r="M374" i="159"/>
  <c r="M375" i="159"/>
  <c r="M376" i="159"/>
  <c r="M377" i="159"/>
  <c r="M378" i="159"/>
  <c r="M379" i="159"/>
  <c r="M380" i="159"/>
  <c r="M381" i="159"/>
  <c r="M382" i="159"/>
  <c r="M383" i="159"/>
  <c r="M384" i="159"/>
  <c r="M385" i="159"/>
  <c r="M386" i="159"/>
  <c r="M387" i="159"/>
  <c r="M388" i="159"/>
  <c r="M389" i="159"/>
  <c r="M390" i="159"/>
  <c r="M391" i="159"/>
  <c r="M392" i="159"/>
  <c r="M393" i="159"/>
  <c r="M394" i="159"/>
  <c r="M395" i="159"/>
  <c r="M396" i="159"/>
  <c r="M397" i="159"/>
  <c r="M398" i="159"/>
  <c r="M399" i="159"/>
  <c r="M400" i="159"/>
  <c r="M401" i="159"/>
  <c r="M402" i="159"/>
  <c r="M403" i="159"/>
  <c r="M404" i="159"/>
  <c r="M405" i="159"/>
  <c r="M406" i="159"/>
  <c r="M407" i="159"/>
  <c r="M408" i="159"/>
  <c r="M409" i="159"/>
  <c r="M410" i="159"/>
  <c r="M411" i="159"/>
  <c r="M5" i="159"/>
  <c r="L5" i="159"/>
  <c r="L412" i="159" s="1"/>
  <c r="M412" i="159" l="1"/>
  <c r="AD226" i="1" l="1"/>
  <c r="AF226" i="1" s="1"/>
  <c r="AD369" i="1"/>
  <c r="AF369" i="1" s="1"/>
  <c r="AD384" i="1"/>
  <c r="AF384" i="1" s="1"/>
  <c r="AD385" i="1"/>
  <c r="AF385" i="1" s="1"/>
  <c r="AC384" i="1"/>
  <c r="AE384" i="1" s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R205" i="1" l="1"/>
  <c r="N368" i="1"/>
  <c r="N336" i="1"/>
  <c r="N272" i="1"/>
  <c r="N204" i="1"/>
  <c r="N265" i="1"/>
  <c r="N403" i="1"/>
  <c r="N211" i="1"/>
  <c r="N179" i="1"/>
  <c r="N131" i="1"/>
  <c r="N115" i="1"/>
  <c r="N84" i="1"/>
  <c r="N178" i="1"/>
  <c r="N146" i="1"/>
  <c r="N91" i="1"/>
  <c r="N409" i="1"/>
  <c r="N401" i="1"/>
  <c r="N334" i="1"/>
  <c r="N318" i="1"/>
  <c r="N278" i="1"/>
  <c r="N270" i="1"/>
  <c r="N244" i="1"/>
  <c r="N235" i="1"/>
  <c r="N218" i="1"/>
  <c r="N210" i="1"/>
  <c r="N202" i="1"/>
  <c r="N186" i="1"/>
  <c r="N341" i="1"/>
  <c r="N325" i="1"/>
  <c r="N317" i="1"/>
  <c r="N309" i="1"/>
  <c r="N217" i="1"/>
  <c r="N193" i="1"/>
  <c r="N121" i="1"/>
  <c r="N74" i="1"/>
  <c r="R204" i="1"/>
  <c r="R162" i="1"/>
  <c r="R165" i="1"/>
  <c r="R332" i="1"/>
  <c r="R250" i="1"/>
  <c r="R240" i="1"/>
  <c r="R126" i="1"/>
  <c r="R408" i="1"/>
  <c r="R392" i="1"/>
  <c r="R352" i="1"/>
  <c r="R320" i="1"/>
  <c r="R288" i="1"/>
  <c r="R400" i="1"/>
  <c r="R376" i="1"/>
  <c r="R344" i="1"/>
  <c r="R328" i="1"/>
  <c r="R280" i="1"/>
  <c r="R399" i="1"/>
  <c r="R375" i="1"/>
  <c r="R367" i="1"/>
  <c r="R351" i="1"/>
  <c r="R335" i="1"/>
  <c r="R327" i="1"/>
  <c r="R319" i="1"/>
  <c r="R287" i="1"/>
  <c r="R271" i="1"/>
  <c r="S244" i="1"/>
  <c r="S180" i="1"/>
  <c r="S148" i="1"/>
  <c r="S124" i="1"/>
  <c r="S377" i="1"/>
  <c r="S257" i="1"/>
  <c r="R389" i="1"/>
  <c r="S393" i="1"/>
  <c r="S329" i="1"/>
  <c r="S193" i="1"/>
  <c r="S105" i="1"/>
  <c r="S367" i="1"/>
  <c r="S351" i="1"/>
  <c r="S287" i="1"/>
  <c r="S279" i="1"/>
  <c r="S271" i="1"/>
  <c r="S239" i="1"/>
  <c r="S231" i="1"/>
  <c r="S223" i="1"/>
  <c r="S207" i="1"/>
  <c r="S191" i="1"/>
  <c r="S175" i="1"/>
  <c r="S159" i="1"/>
  <c r="S103" i="1"/>
  <c r="S115" i="1"/>
  <c r="S337" i="1"/>
  <c r="S305" i="1"/>
  <c r="S137" i="1"/>
  <c r="S334" i="1"/>
  <c r="S310" i="1"/>
  <c r="S286" i="1"/>
  <c r="S270" i="1"/>
  <c r="S246" i="1"/>
  <c r="S206" i="1"/>
  <c r="S182" i="1"/>
  <c r="S142" i="1"/>
  <c r="S134" i="1"/>
  <c r="R377" i="1"/>
  <c r="R411" i="1"/>
  <c r="S126" i="1"/>
  <c r="S353" i="1"/>
  <c r="S365" i="1"/>
  <c r="S357" i="1"/>
  <c r="S333" i="1"/>
  <c r="S325" i="1"/>
  <c r="S293" i="1"/>
  <c r="S269" i="1"/>
  <c r="S245" i="1"/>
  <c r="S237" i="1"/>
  <c r="S229" i="1"/>
  <c r="S221" i="1"/>
  <c r="S205" i="1"/>
  <c r="S181" i="1"/>
  <c r="S157" i="1"/>
  <c r="S141" i="1"/>
  <c r="S109" i="1"/>
  <c r="S94" i="1"/>
  <c r="S228" i="1"/>
  <c r="S375" i="1"/>
  <c r="S111" i="1"/>
  <c r="S410" i="1"/>
  <c r="S386" i="1"/>
  <c r="S338" i="1"/>
  <c r="S322" i="1"/>
  <c r="S290" i="1"/>
  <c r="S274" i="1"/>
  <c r="S266" i="1"/>
  <c r="S226" i="1"/>
  <c r="S162" i="1"/>
  <c r="S400" i="1"/>
  <c r="S248" i="1"/>
  <c r="S184" i="1"/>
  <c r="S144" i="1"/>
  <c r="R349" i="1"/>
  <c r="R341" i="1"/>
  <c r="R309" i="1"/>
  <c r="R261" i="1"/>
  <c r="R245" i="1"/>
  <c r="R237" i="1"/>
  <c r="R221" i="1"/>
  <c r="R197" i="1"/>
  <c r="R189" i="1"/>
  <c r="R181" i="1"/>
  <c r="R173" i="1"/>
  <c r="R157" i="1"/>
  <c r="R149" i="1"/>
  <c r="S403" i="1"/>
  <c r="S387" i="1"/>
  <c r="S323" i="1"/>
  <c r="S259" i="1"/>
  <c r="S211" i="1"/>
  <c r="S187" i="1"/>
  <c r="S171" i="1"/>
  <c r="R412" i="1"/>
  <c r="R388" i="1"/>
  <c r="R348" i="1"/>
  <c r="R300" i="1"/>
  <c r="R220" i="1"/>
  <c r="R196" i="1"/>
  <c r="R363" i="1"/>
  <c r="R323" i="1"/>
  <c r="R299" i="1"/>
  <c r="R275" i="1"/>
  <c r="R171" i="1"/>
  <c r="R147" i="1"/>
  <c r="R402" i="1"/>
  <c r="R362" i="1"/>
  <c r="R298" i="1"/>
  <c r="R234" i="1"/>
  <c r="R202" i="1"/>
  <c r="R194" i="1"/>
  <c r="R170" i="1"/>
  <c r="R406" i="1"/>
  <c r="R390" i="1"/>
  <c r="R382" i="1"/>
  <c r="R374" i="1"/>
  <c r="R366" i="1"/>
  <c r="R310" i="1"/>
  <c r="R286" i="1"/>
  <c r="R278" i="1"/>
  <c r="R246" i="1"/>
  <c r="R238" i="1"/>
  <c r="R222" i="1"/>
  <c r="R214" i="1"/>
  <c r="R198" i="1"/>
  <c r="R182" i="1"/>
  <c r="R174" i="1"/>
  <c r="R150" i="1"/>
  <c r="R134" i="1"/>
  <c r="R329" i="1"/>
  <c r="R313" i="1"/>
  <c r="S391" i="1"/>
  <c r="S150" i="1"/>
  <c r="S119" i="1"/>
  <c r="S389" i="1"/>
  <c r="S341" i="1"/>
  <c r="S317" i="1"/>
  <c r="S261" i="1"/>
  <c r="S253" i="1"/>
  <c r="S197" i="1"/>
  <c r="S189" i="1"/>
  <c r="R404" i="1"/>
  <c r="S396" i="1"/>
  <c r="S220" i="1"/>
  <c r="S132" i="1"/>
  <c r="S218" i="1"/>
  <c r="S108" i="1"/>
  <c r="S379" i="1"/>
  <c r="S315" i="1"/>
  <c r="S307" i="1"/>
  <c r="S381" i="1"/>
  <c r="S308" i="1"/>
  <c r="S217" i="1"/>
  <c r="S143" i="1"/>
  <c r="S354" i="1"/>
  <c r="S369" i="1"/>
  <c r="S314" i="1"/>
  <c r="S378" i="1"/>
  <c r="S361" i="1"/>
  <c r="S196" i="1"/>
  <c r="S299" i="1"/>
  <c r="R395" i="1"/>
  <c r="N226" i="1"/>
  <c r="I50" i="1"/>
  <c r="J50" i="1"/>
  <c r="I42" i="1"/>
  <c r="J42" i="1"/>
  <c r="I34" i="1"/>
  <c r="J34" i="1"/>
  <c r="J26" i="1"/>
  <c r="I26" i="1"/>
  <c r="I18" i="1"/>
  <c r="J18" i="1"/>
  <c r="I10" i="1"/>
  <c r="J10" i="1"/>
  <c r="J408" i="1"/>
  <c r="I408" i="1"/>
  <c r="I400" i="1"/>
  <c r="J400" i="1"/>
  <c r="J392" i="1"/>
  <c r="I392" i="1"/>
  <c r="J382" i="1"/>
  <c r="I382" i="1"/>
  <c r="I374" i="1"/>
  <c r="J374" i="1"/>
  <c r="I365" i="1"/>
  <c r="J365" i="1"/>
  <c r="I357" i="1"/>
  <c r="J357" i="1"/>
  <c r="I349" i="1"/>
  <c r="J349" i="1"/>
  <c r="J341" i="1"/>
  <c r="I341" i="1"/>
  <c r="J333" i="1"/>
  <c r="I333" i="1"/>
  <c r="I325" i="1"/>
  <c r="J325" i="1"/>
  <c r="I317" i="1"/>
  <c r="J317" i="1"/>
  <c r="I309" i="1"/>
  <c r="J309" i="1"/>
  <c r="I301" i="1"/>
  <c r="J301" i="1"/>
  <c r="I293" i="1"/>
  <c r="J293" i="1"/>
  <c r="AD293" i="1" s="1"/>
  <c r="AF293" i="1" s="1"/>
  <c r="J285" i="1"/>
  <c r="I285" i="1"/>
  <c r="J277" i="1"/>
  <c r="I277" i="1"/>
  <c r="J269" i="1"/>
  <c r="I269" i="1"/>
  <c r="I261" i="1"/>
  <c r="J261" i="1"/>
  <c r="I251" i="1"/>
  <c r="J251" i="1"/>
  <c r="I243" i="1"/>
  <c r="J243" i="1"/>
  <c r="J234" i="1"/>
  <c r="I234" i="1"/>
  <c r="I225" i="1"/>
  <c r="J225" i="1"/>
  <c r="I217" i="1"/>
  <c r="J217" i="1"/>
  <c r="I209" i="1"/>
  <c r="J209" i="1"/>
  <c r="J201" i="1"/>
  <c r="I201" i="1"/>
  <c r="J193" i="1"/>
  <c r="I193" i="1"/>
  <c r="I185" i="1"/>
  <c r="J185" i="1"/>
  <c r="J177" i="1"/>
  <c r="I177" i="1"/>
  <c r="J169" i="1"/>
  <c r="I169" i="1"/>
  <c r="J161" i="1"/>
  <c r="I161" i="1"/>
  <c r="I153" i="1"/>
  <c r="J153" i="1"/>
  <c r="J145" i="1"/>
  <c r="I145" i="1"/>
  <c r="I137" i="1"/>
  <c r="J137" i="1"/>
  <c r="I129" i="1"/>
  <c r="J129" i="1"/>
  <c r="J121" i="1"/>
  <c r="I121" i="1"/>
  <c r="I113" i="1"/>
  <c r="J113" i="1"/>
  <c r="J105" i="1"/>
  <c r="I105" i="1"/>
  <c r="J98" i="1"/>
  <c r="I98" i="1"/>
  <c r="I90" i="1"/>
  <c r="J90" i="1"/>
  <c r="I82" i="1"/>
  <c r="J82" i="1"/>
  <c r="AD82" i="1" s="1"/>
  <c r="AF82" i="1" s="1"/>
  <c r="I74" i="1"/>
  <c r="J74" i="1"/>
  <c r="J66" i="1"/>
  <c r="I66" i="1"/>
  <c r="J58" i="1"/>
  <c r="I58" i="1"/>
  <c r="N69" i="1"/>
  <c r="N124" i="1"/>
  <c r="N188" i="1"/>
  <c r="N268" i="1"/>
  <c r="N300" i="1"/>
  <c r="N324" i="1"/>
  <c r="N364" i="1"/>
  <c r="N388" i="1"/>
  <c r="N396" i="1"/>
  <c r="I49" i="1"/>
  <c r="J49" i="1"/>
  <c r="J41" i="1"/>
  <c r="I41" i="1"/>
  <c r="I33" i="1"/>
  <c r="J33" i="1"/>
  <c r="I25" i="1"/>
  <c r="J25" i="1"/>
  <c r="J17" i="1"/>
  <c r="I17" i="1"/>
  <c r="I9" i="1"/>
  <c r="J9" i="1"/>
  <c r="J407" i="1"/>
  <c r="I407" i="1"/>
  <c r="I399" i="1"/>
  <c r="J399" i="1"/>
  <c r="I391" i="1"/>
  <c r="J391" i="1"/>
  <c r="J381" i="1"/>
  <c r="I381" i="1"/>
  <c r="J373" i="1"/>
  <c r="I373" i="1"/>
  <c r="I364" i="1"/>
  <c r="J364" i="1"/>
  <c r="I356" i="1"/>
  <c r="J356" i="1"/>
  <c r="J348" i="1"/>
  <c r="I348" i="1"/>
  <c r="I340" i="1"/>
  <c r="J340" i="1"/>
  <c r="J332" i="1"/>
  <c r="I332" i="1"/>
  <c r="I324" i="1"/>
  <c r="J324" i="1"/>
  <c r="I316" i="1"/>
  <c r="J316" i="1"/>
  <c r="I308" i="1"/>
  <c r="J308" i="1"/>
  <c r="J300" i="1"/>
  <c r="I300" i="1"/>
  <c r="I292" i="1"/>
  <c r="J292" i="1"/>
  <c r="J284" i="1"/>
  <c r="I284" i="1"/>
  <c r="J276" i="1"/>
  <c r="I276" i="1"/>
  <c r="I268" i="1"/>
  <c r="J268" i="1"/>
  <c r="AD268" i="1" s="1"/>
  <c r="AF268" i="1" s="1"/>
  <c r="I260" i="1"/>
  <c r="J260" i="1"/>
  <c r="I250" i="1"/>
  <c r="J250" i="1"/>
  <c r="J242" i="1"/>
  <c r="AD242" i="1" s="1"/>
  <c r="AF242" i="1" s="1"/>
  <c r="I242" i="1"/>
  <c r="I233" i="1"/>
  <c r="J233" i="1"/>
  <c r="I224" i="1"/>
  <c r="J224" i="1"/>
  <c r="J216" i="1"/>
  <c r="AD216" i="1" s="1"/>
  <c r="AF216" i="1" s="1"/>
  <c r="I216" i="1"/>
  <c r="I208" i="1"/>
  <c r="J208" i="1"/>
  <c r="I200" i="1"/>
  <c r="J200" i="1"/>
  <c r="AD200" i="1" s="1"/>
  <c r="AF200" i="1" s="1"/>
  <c r="J192" i="1"/>
  <c r="I192" i="1"/>
  <c r="I184" i="1"/>
  <c r="J184" i="1"/>
  <c r="I176" i="1"/>
  <c r="J176" i="1"/>
  <c r="I168" i="1"/>
  <c r="J168" i="1"/>
  <c r="J160" i="1"/>
  <c r="I160" i="1"/>
  <c r="I152" i="1"/>
  <c r="J152" i="1"/>
  <c r="I144" i="1"/>
  <c r="J144" i="1"/>
  <c r="I136" i="1"/>
  <c r="J136" i="1"/>
  <c r="J128" i="1"/>
  <c r="AD128" i="1" s="1"/>
  <c r="AF128" i="1" s="1"/>
  <c r="I128" i="1"/>
  <c r="I120" i="1"/>
  <c r="J120" i="1"/>
  <c r="I112" i="1"/>
  <c r="J112" i="1"/>
  <c r="I104" i="1"/>
  <c r="J104" i="1"/>
  <c r="J97" i="1"/>
  <c r="I97" i="1"/>
  <c r="I89" i="1"/>
  <c r="J89" i="1"/>
  <c r="I81" i="1"/>
  <c r="J81" i="1"/>
  <c r="AD81" i="1" s="1"/>
  <c r="AF81" i="1" s="1"/>
  <c r="J73" i="1"/>
  <c r="I73" i="1"/>
  <c r="I65" i="1"/>
  <c r="J65" i="1"/>
  <c r="I57" i="1"/>
  <c r="J57" i="1"/>
  <c r="N78" i="1"/>
  <c r="N141" i="1"/>
  <c r="N205" i="1"/>
  <c r="N229" i="1"/>
  <c r="N373" i="1"/>
  <c r="N389" i="1"/>
  <c r="I48" i="1"/>
  <c r="J48" i="1"/>
  <c r="I40" i="1"/>
  <c r="J40" i="1"/>
  <c r="I32" i="1"/>
  <c r="J32" i="1"/>
  <c r="I24" i="1"/>
  <c r="J24" i="1"/>
  <c r="I16" i="1"/>
  <c r="J16" i="1"/>
  <c r="I8" i="1"/>
  <c r="J8" i="1"/>
  <c r="I406" i="1"/>
  <c r="J406" i="1"/>
  <c r="J398" i="1"/>
  <c r="I398" i="1"/>
  <c r="I390" i="1"/>
  <c r="J390" i="1"/>
  <c r="I380" i="1"/>
  <c r="J380" i="1"/>
  <c r="I372" i="1"/>
  <c r="J372" i="1"/>
  <c r="J363" i="1"/>
  <c r="I363" i="1"/>
  <c r="J355" i="1"/>
  <c r="I355" i="1"/>
  <c r="I347" i="1"/>
  <c r="J347" i="1"/>
  <c r="I339" i="1"/>
  <c r="J339" i="1"/>
  <c r="I331" i="1"/>
  <c r="J331" i="1"/>
  <c r="J323" i="1"/>
  <c r="I323" i="1"/>
  <c r="J315" i="1"/>
  <c r="I315" i="1"/>
  <c r="I307" i="1"/>
  <c r="J307" i="1"/>
  <c r="I299" i="1"/>
  <c r="J299" i="1"/>
  <c r="I291" i="1"/>
  <c r="J291" i="1"/>
  <c r="I283" i="1"/>
  <c r="J283" i="1"/>
  <c r="J275" i="1"/>
  <c r="I275" i="1"/>
  <c r="I267" i="1"/>
  <c r="J267" i="1"/>
  <c r="J259" i="1"/>
  <c r="I259" i="1"/>
  <c r="J249" i="1"/>
  <c r="AD249" i="1" s="1"/>
  <c r="AF249" i="1" s="1"/>
  <c r="I249" i="1"/>
  <c r="I240" i="1"/>
  <c r="J240" i="1"/>
  <c r="AD240" i="1" s="1"/>
  <c r="AF240" i="1" s="1"/>
  <c r="J232" i="1"/>
  <c r="I232" i="1"/>
  <c r="J223" i="1"/>
  <c r="I223" i="1"/>
  <c r="J215" i="1"/>
  <c r="AD215" i="1" s="1"/>
  <c r="AF215" i="1" s="1"/>
  <c r="I215" i="1"/>
  <c r="I207" i="1"/>
  <c r="J207" i="1"/>
  <c r="I199" i="1"/>
  <c r="J199" i="1"/>
  <c r="J191" i="1"/>
  <c r="I191" i="1"/>
  <c r="I183" i="1"/>
  <c r="J183" i="1"/>
  <c r="AD183" i="1" s="1"/>
  <c r="AF183" i="1" s="1"/>
  <c r="I175" i="1"/>
  <c r="J175" i="1"/>
  <c r="J167" i="1"/>
  <c r="I167" i="1"/>
  <c r="I159" i="1"/>
  <c r="J159" i="1"/>
  <c r="J151" i="1"/>
  <c r="I151" i="1"/>
  <c r="I143" i="1"/>
  <c r="J143" i="1"/>
  <c r="J135" i="1"/>
  <c r="I135" i="1"/>
  <c r="J127" i="1"/>
  <c r="AD127" i="1" s="1"/>
  <c r="AF127" i="1" s="1"/>
  <c r="I127" i="1"/>
  <c r="J119" i="1"/>
  <c r="AD119" i="1" s="1"/>
  <c r="AF119" i="1" s="1"/>
  <c r="I119" i="1"/>
  <c r="I111" i="1"/>
  <c r="J111" i="1"/>
  <c r="J103" i="1"/>
  <c r="I103" i="1"/>
  <c r="I96" i="1"/>
  <c r="J96" i="1"/>
  <c r="I88" i="1"/>
  <c r="J88" i="1"/>
  <c r="J80" i="1"/>
  <c r="I80" i="1"/>
  <c r="I72" i="1"/>
  <c r="J72" i="1"/>
  <c r="J64" i="1"/>
  <c r="I64" i="1"/>
  <c r="J56" i="1"/>
  <c r="I56" i="1"/>
  <c r="N342" i="1"/>
  <c r="N374" i="1"/>
  <c r="N390" i="1"/>
  <c r="N398" i="1"/>
  <c r="N406" i="1"/>
  <c r="J47" i="1"/>
  <c r="I47" i="1"/>
  <c r="J39" i="1"/>
  <c r="I39" i="1"/>
  <c r="J31" i="1"/>
  <c r="I31" i="1"/>
  <c r="J23" i="1"/>
  <c r="I23" i="1"/>
  <c r="I15" i="1"/>
  <c r="J15" i="1"/>
  <c r="J7" i="1"/>
  <c r="I7" i="1"/>
  <c r="I405" i="1"/>
  <c r="J405" i="1"/>
  <c r="I397" i="1"/>
  <c r="J397" i="1"/>
  <c r="I389" i="1"/>
  <c r="J389" i="1"/>
  <c r="I379" i="1"/>
  <c r="J379" i="1"/>
  <c r="J371" i="1"/>
  <c r="I371" i="1"/>
  <c r="J362" i="1"/>
  <c r="I362" i="1"/>
  <c r="J354" i="1"/>
  <c r="I354" i="1"/>
  <c r="I346" i="1"/>
  <c r="J346" i="1"/>
  <c r="I338" i="1"/>
  <c r="J338" i="1"/>
  <c r="J330" i="1"/>
  <c r="I330" i="1"/>
  <c r="J322" i="1"/>
  <c r="I322" i="1"/>
  <c r="J314" i="1"/>
  <c r="I314" i="1"/>
  <c r="J306" i="1"/>
  <c r="I306" i="1"/>
  <c r="J298" i="1"/>
  <c r="I298" i="1"/>
  <c r="I290" i="1"/>
  <c r="J290" i="1"/>
  <c r="J282" i="1"/>
  <c r="I282" i="1"/>
  <c r="I274" i="1"/>
  <c r="J274" i="1"/>
  <c r="AD274" i="1" s="1"/>
  <c r="AF274" i="1" s="1"/>
  <c r="I266" i="1"/>
  <c r="J266" i="1"/>
  <c r="AD266" i="1" s="1"/>
  <c r="AF266" i="1" s="1"/>
  <c r="I258" i="1"/>
  <c r="J258" i="1"/>
  <c r="AD258" i="1" s="1"/>
  <c r="AF258" i="1" s="1"/>
  <c r="J248" i="1"/>
  <c r="AD248" i="1" s="1"/>
  <c r="AF248" i="1" s="1"/>
  <c r="I248" i="1"/>
  <c r="J239" i="1"/>
  <c r="I239" i="1"/>
  <c r="I231" i="1"/>
  <c r="J231" i="1"/>
  <c r="J222" i="1"/>
  <c r="I222" i="1"/>
  <c r="I214" i="1"/>
  <c r="J214" i="1"/>
  <c r="I206" i="1"/>
  <c r="J206" i="1"/>
  <c r="I198" i="1"/>
  <c r="J198" i="1"/>
  <c r="J190" i="1"/>
  <c r="I190" i="1"/>
  <c r="J182" i="1"/>
  <c r="I182" i="1"/>
  <c r="I174" i="1"/>
  <c r="J174" i="1"/>
  <c r="I166" i="1"/>
  <c r="J166" i="1"/>
  <c r="J158" i="1"/>
  <c r="I158" i="1"/>
  <c r="J150" i="1"/>
  <c r="I150" i="1"/>
  <c r="J142" i="1"/>
  <c r="I142" i="1"/>
  <c r="I134" i="1"/>
  <c r="J134" i="1"/>
  <c r="I126" i="1"/>
  <c r="J126" i="1"/>
  <c r="AD126" i="1" s="1"/>
  <c r="AF126" i="1" s="1"/>
  <c r="I118" i="1"/>
  <c r="J118" i="1"/>
  <c r="I110" i="1"/>
  <c r="J110" i="1"/>
  <c r="I102" i="1"/>
  <c r="J102" i="1"/>
  <c r="J95" i="1"/>
  <c r="I95" i="1"/>
  <c r="J87" i="1"/>
  <c r="I87" i="1"/>
  <c r="J79" i="1"/>
  <c r="I79" i="1"/>
  <c r="J71" i="1"/>
  <c r="I71" i="1"/>
  <c r="J63" i="1"/>
  <c r="I63" i="1"/>
  <c r="I55" i="1"/>
  <c r="J55" i="1"/>
  <c r="N64" i="1"/>
  <c r="N111" i="1"/>
  <c r="N127" i="1"/>
  <c r="N175" i="1"/>
  <c r="N191" i="1"/>
  <c r="N287" i="1"/>
  <c r="N351" i="1"/>
  <c r="N399" i="1"/>
  <c r="N65" i="1"/>
  <c r="N73" i="1"/>
  <c r="N128" i="1"/>
  <c r="N136" i="1"/>
  <c r="N192" i="1"/>
  <c r="N200" i="1"/>
  <c r="N304" i="1"/>
  <c r="N320" i="1"/>
  <c r="N400" i="1"/>
  <c r="I6" i="1"/>
  <c r="J6" i="1"/>
  <c r="I46" i="1"/>
  <c r="J46" i="1"/>
  <c r="I38" i="1"/>
  <c r="J38" i="1"/>
  <c r="I30" i="1"/>
  <c r="J30" i="1"/>
  <c r="I22" i="1"/>
  <c r="J22" i="1"/>
  <c r="J14" i="1"/>
  <c r="I14" i="1"/>
  <c r="J412" i="1"/>
  <c r="I412" i="1"/>
  <c r="I404" i="1"/>
  <c r="J404" i="1"/>
  <c r="J396" i="1"/>
  <c r="I396" i="1"/>
  <c r="J388" i="1"/>
  <c r="I388" i="1"/>
  <c r="J378" i="1"/>
  <c r="I378" i="1"/>
  <c r="J370" i="1"/>
  <c r="I370" i="1"/>
  <c r="J361" i="1"/>
  <c r="I361" i="1"/>
  <c r="I353" i="1"/>
  <c r="J353" i="1"/>
  <c r="I345" i="1"/>
  <c r="J345" i="1"/>
  <c r="I337" i="1"/>
  <c r="J337" i="1"/>
  <c r="AD337" i="1" s="1"/>
  <c r="AF337" i="1" s="1"/>
  <c r="J329" i="1"/>
  <c r="I329" i="1"/>
  <c r="I321" i="1"/>
  <c r="J321" i="1"/>
  <c r="I313" i="1"/>
  <c r="J313" i="1"/>
  <c r="I305" i="1"/>
  <c r="J305" i="1"/>
  <c r="I297" i="1"/>
  <c r="J297" i="1"/>
  <c r="I289" i="1"/>
  <c r="J289" i="1"/>
  <c r="AD289" i="1" s="1"/>
  <c r="AF289" i="1" s="1"/>
  <c r="J281" i="1"/>
  <c r="I281" i="1"/>
  <c r="J273" i="1"/>
  <c r="I273" i="1"/>
  <c r="J265" i="1"/>
  <c r="AD265" i="1" s="1"/>
  <c r="AF265" i="1" s="1"/>
  <c r="I265" i="1"/>
  <c r="J257" i="1"/>
  <c r="I257" i="1"/>
  <c r="J247" i="1"/>
  <c r="AD247" i="1" s="1"/>
  <c r="AF247" i="1" s="1"/>
  <c r="I247" i="1"/>
  <c r="I238" i="1"/>
  <c r="J238" i="1"/>
  <c r="AD238" i="1" s="1"/>
  <c r="AF238" i="1" s="1"/>
  <c r="I230" i="1"/>
  <c r="J230" i="1"/>
  <c r="I221" i="1"/>
  <c r="J221" i="1"/>
  <c r="AD221" i="1" s="1"/>
  <c r="AF221" i="1" s="1"/>
  <c r="I213" i="1"/>
  <c r="J213" i="1"/>
  <c r="I205" i="1"/>
  <c r="J205" i="1"/>
  <c r="I197" i="1"/>
  <c r="J197" i="1"/>
  <c r="J189" i="1"/>
  <c r="I189" i="1"/>
  <c r="J181" i="1"/>
  <c r="I181" i="1"/>
  <c r="I173" i="1"/>
  <c r="J173" i="1"/>
  <c r="I165" i="1"/>
  <c r="J165" i="1"/>
  <c r="AD165" i="1" s="1"/>
  <c r="AF165" i="1" s="1"/>
  <c r="I157" i="1"/>
  <c r="J157" i="1"/>
  <c r="I149" i="1"/>
  <c r="J149" i="1"/>
  <c r="J141" i="1"/>
  <c r="I141" i="1"/>
  <c r="J133" i="1"/>
  <c r="I133" i="1"/>
  <c r="I125" i="1"/>
  <c r="J125" i="1"/>
  <c r="AD125" i="1" s="1"/>
  <c r="AF125" i="1" s="1"/>
  <c r="I117" i="1"/>
  <c r="J117" i="1"/>
  <c r="I109" i="1"/>
  <c r="J109" i="1"/>
  <c r="I94" i="1"/>
  <c r="J94" i="1"/>
  <c r="J86" i="1"/>
  <c r="AD86" i="1" s="1"/>
  <c r="AF86" i="1" s="1"/>
  <c r="I86" i="1"/>
  <c r="J78" i="1"/>
  <c r="I78" i="1"/>
  <c r="J70" i="1"/>
  <c r="I70" i="1"/>
  <c r="J62" i="1"/>
  <c r="I62" i="1"/>
  <c r="J54" i="1"/>
  <c r="I54" i="1"/>
  <c r="I53" i="1"/>
  <c r="J53" i="1"/>
  <c r="I45" i="1"/>
  <c r="J45" i="1"/>
  <c r="I37" i="1"/>
  <c r="J37" i="1"/>
  <c r="I29" i="1"/>
  <c r="J29" i="1"/>
  <c r="J21" i="1"/>
  <c r="I21" i="1"/>
  <c r="I13" i="1"/>
  <c r="J13" i="1"/>
  <c r="I411" i="1"/>
  <c r="J411" i="1"/>
  <c r="I403" i="1"/>
  <c r="J403" i="1"/>
  <c r="J395" i="1"/>
  <c r="I395" i="1"/>
  <c r="J387" i="1"/>
  <c r="I387" i="1"/>
  <c r="J377" i="1"/>
  <c r="I377" i="1"/>
  <c r="I368" i="1"/>
  <c r="J368" i="1"/>
  <c r="I360" i="1"/>
  <c r="J360" i="1"/>
  <c r="J352" i="1"/>
  <c r="I352" i="1"/>
  <c r="I344" i="1"/>
  <c r="J344" i="1"/>
  <c r="I336" i="1"/>
  <c r="J336" i="1"/>
  <c r="I328" i="1"/>
  <c r="J328" i="1"/>
  <c r="J320" i="1"/>
  <c r="I320" i="1"/>
  <c r="I312" i="1"/>
  <c r="J312" i="1"/>
  <c r="I304" i="1"/>
  <c r="J304" i="1"/>
  <c r="J296" i="1"/>
  <c r="I296" i="1"/>
  <c r="J288" i="1"/>
  <c r="I288" i="1"/>
  <c r="I280" i="1"/>
  <c r="J280" i="1"/>
  <c r="I272" i="1"/>
  <c r="J272" i="1"/>
  <c r="J264" i="1"/>
  <c r="AD264" i="1" s="1"/>
  <c r="AF264" i="1" s="1"/>
  <c r="I264" i="1"/>
  <c r="I255" i="1"/>
  <c r="J255" i="1"/>
  <c r="AD255" i="1" s="1"/>
  <c r="AF255" i="1" s="1"/>
  <c r="I246" i="1"/>
  <c r="J246" i="1"/>
  <c r="J237" i="1"/>
  <c r="I237" i="1"/>
  <c r="I229" i="1"/>
  <c r="J229" i="1"/>
  <c r="I220" i="1"/>
  <c r="J220" i="1"/>
  <c r="I212" i="1"/>
  <c r="J212" i="1"/>
  <c r="AD212" i="1" s="1"/>
  <c r="AF212" i="1" s="1"/>
  <c r="J204" i="1"/>
  <c r="I204" i="1"/>
  <c r="I196" i="1"/>
  <c r="J196" i="1"/>
  <c r="J188" i="1"/>
  <c r="I188" i="1"/>
  <c r="I180" i="1"/>
  <c r="J180" i="1"/>
  <c r="I172" i="1"/>
  <c r="J172" i="1"/>
  <c r="I164" i="1"/>
  <c r="J164" i="1"/>
  <c r="I156" i="1"/>
  <c r="J156" i="1"/>
  <c r="J148" i="1"/>
  <c r="I148" i="1"/>
  <c r="J140" i="1"/>
  <c r="I140" i="1"/>
  <c r="J132" i="1"/>
  <c r="AD132" i="1" s="1"/>
  <c r="AF132" i="1" s="1"/>
  <c r="I132" i="1"/>
  <c r="J124" i="1"/>
  <c r="AD124" i="1" s="1"/>
  <c r="AF124" i="1" s="1"/>
  <c r="I124" i="1"/>
  <c r="J116" i="1"/>
  <c r="I116" i="1"/>
  <c r="I108" i="1"/>
  <c r="J108" i="1"/>
  <c r="J101" i="1"/>
  <c r="I101" i="1"/>
  <c r="I93" i="1"/>
  <c r="J93" i="1"/>
  <c r="I85" i="1"/>
  <c r="J85" i="1"/>
  <c r="J77" i="1"/>
  <c r="I77" i="1"/>
  <c r="I69" i="1"/>
  <c r="J69" i="1"/>
  <c r="I61" i="1"/>
  <c r="J61" i="1"/>
  <c r="N58" i="1"/>
  <c r="N249" i="1"/>
  <c r="N313" i="1"/>
  <c r="N329" i="1"/>
  <c r="N377" i="1"/>
  <c r="J52" i="1"/>
  <c r="I52" i="1"/>
  <c r="J44" i="1"/>
  <c r="I44" i="1"/>
  <c r="I36" i="1"/>
  <c r="J36" i="1"/>
  <c r="I28" i="1"/>
  <c r="J28" i="1"/>
  <c r="J20" i="1"/>
  <c r="I20" i="1"/>
  <c r="I12" i="1"/>
  <c r="J12" i="1"/>
  <c r="I410" i="1"/>
  <c r="J410" i="1"/>
  <c r="J402" i="1"/>
  <c r="I402" i="1"/>
  <c r="I394" i="1"/>
  <c r="J394" i="1"/>
  <c r="J386" i="1"/>
  <c r="I386" i="1"/>
  <c r="J376" i="1"/>
  <c r="I376" i="1"/>
  <c r="J367" i="1"/>
  <c r="I367" i="1"/>
  <c r="I359" i="1"/>
  <c r="J359" i="1"/>
  <c r="I351" i="1"/>
  <c r="J351" i="1"/>
  <c r="I343" i="1"/>
  <c r="J343" i="1"/>
  <c r="J335" i="1"/>
  <c r="I335" i="1"/>
  <c r="I327" i="1"/>
  <c r="J327" i="1"/>
  <c r="I319" i="1"/>
  <c r="J319" i="1"/>
  <c r="J311" i="1"/>
  <c r="I311" i="1"/>
  <c r="J303" i="1"/>
  <c r="AD303" i="1" s="1"/>
  <c r="AF303" i="1" s="1"/>
  <c r="I303" i="1"/>
  <c r="I295" i="1"/>
  <c r="J295" i="1"/>
  <c r="AD295" i="1" s="1"/>
  <c r="AF295" i="1" s="1"/>
  <c r="I287" i="1"/>
  <c r="J287" i="1"/>
  <c r="I279" i="1"/>
  <c r="J279" i="1"/>
  <c r="J271" i="1"/>
  <c r="AD271" i="1" s="1"/>
  <c r="AF271" i="1" s="1"/>
  <c r="I271" i="1"/>
  <c r="I263" i="1"/>
  <c r="J263" i="1"/>
  <c r="AD263" i="1" s="1"/>
  <c r="AF263" i="1" s="1"/>
  <c r="I254" i="1"/>
  <c r="J254" i="1"/>
  <c r="J245" i="1"/>
  <c r="AD245" i="1" s="1"/>
  <c r="AF245" i="1" s="1"/>
  <c r="I245" i="1"/>
  <c r="J236" i="1"/>
  <c r="AD236" i="1" s="1"/>
  <c r="AF236" i="1" s="1"/>
  <c r="I236" i="1"/>
  <c r="J228" i="1"/>
  <c r="AD228" i="1" s="1"/>
  <c r="AF228" i="1" s="1"/>
  <c r="I228" i="1"/>
  <c r="J219" i="1"/>
  <c r="I219" i="1"/>
  <c r="J211" i="1"/>
  <c r="I211" i="1"/>
  <c r="I203" i="1"/>
  <c r="J203" i="1"/>
  <c r="J195" i="1"/>
  <c r="I195" i="1"/>
  <c r="I187" i="1"/>
  <c r="J187" i="1"/>
  <c r="J179" i="1"/>
  <c r="I179" i="1"/>
  <c r="J171" i="1"/>
  <c r="I171" i="1"/>
  <c r="I163" i="1"/>
  <c r="J163" i="1"/>
  <c r="I155" i="1"/>
  <c r="J155" i="1"/>
  <c r="I147" i="1"/>
  <c r="J147" i="1"/>
  <c r="I139" i="1"/>
  <c r="J139" i="1"/>
  <c r="I131" i="1"/>
  <c r="J131" i="1"/>
  <c r="AD131" i="1" s="1"/>
  <c r="AF131" i="1" s="1"/>
  <c r="I123" i="1"/>
  <c r="J123" i="1"/>
  <c r="I115" i="1"/>
  <c r="J115" i="1"/>
  <c r="I107" i="1"/>
  <c r="J107" i="1"/>
  <c r="J100" i="1"/>
  <c r="I100" i="1"/>
  <c r="I92" i="1"/>
  <c r="J92" i="1"/>
  <c r="J84" i="1"/>
  <c r="I84" i="1"/>
  <c r="J76" i="1"/>
  <c r="I76" i="1"/>
  <c r="I68" i="1"/>
  <c r="J68" i="1"/>
  <c r="J60" i="1"/>
  <c r="I60" i="1"/>
  <c r="N67" i="1"/>
  <c r="N75" i="1"/>
  <c r="N106" i="1"/>
  <c r="N170" i="1"/>
  <c r="N194" i="1"/>
  <c r="N234" i="1"/>
  <c r="N250" i="1"/>
  <c r="N330" i="1"/>
  <c r="N338" i="1"/>
  <c r="N378" i="1"/>
  <c r="I51" i="1"/>
  <c r="J51" i="1"/>
  <c r="J43" i="1"/>
  <c r="I43" i="1"/>
  <c r="I35" i="1"/>
  <c r="J35" i="1"/>
  <c r="I27" i="1"/>
  <c r="J27" i="1"/>
  <c r="I19" i="1"/>
  <c r="J19" i="1"/>
  <c r="I11" i="1"/>
  <c r="J11" i="1"/>
  <c r="I409" i="1"/>
  <c r="J409" i="1"/>
  <c r="J401" i="1"/>
  <c r="I401" i="1"/>
  <c r="I393" i="1"/>
  <c r="J393" i="1"/>
  <c r="J383" i="1"/>
  <c r="I383" i="1"/>
  <c r="I375" i="1"/>
  <c r="J375" i="1"/>
  <c r="J366" i="1"/>
  <c r="I366" i="1"/>
  <c r="I358" i="1"/>
  <c r="J358" i="1"/>
  <c r="I350" i="1"/>
  <c r="J350" i="1"/>
  <c r="J342" i="1"/>
  <c r="I342" i="1"/>
  <c r="I334" i="1"/>
  <c r="J334" i="1"/>
  <c r="J326" i="1"/>
  <c r="I326" i="1"/>
  <c r="I318" i="1"/>
  <c r="J318" i="1"/>
  <c r="I310" i="1"/>
  <c r="J310" i="1"/>
  <c r="J302" i="1"/>
  <c r="AD302" i="1" s="1"/>
  <c r="AF302" i="1" s="1"/>
  <c r="I302" i="1"/>
  <c r="J294" i="1"/>
  <c r="I294" i="1"/>
  <c r="J286" i="1"/>
  <c r="I286" i="1"/>
  <c r="I278" i="1"/>
  <c r="J278" i="1"/>
  <c r="J270" i="1"/>
  <c r="AD270" i="1" s="1"/>
  <c r="AF270" i="1" s="1"/>
  <c r="I270" i="1"/>
  <c r="I262" i="1"/>
  <c r="J262" i="1"/>
  <c r="AD262" i="1" s="1"/>
  <c r="AF262" i="1" s="1"/>
  <c r="I253" i="1"/>
  <c r="J253" i="1"/>
  <c r="AD253" i="1" s="1"/>
  <c r="AF253" i="1" s="1"/>
  <c r="J244" i="1"/>
  <c r="AD244" i="1" s="1"/>
  <c r="AF244" i="1" s="1"/>
  <c r="I244" i="1"/>
  <c r="I235" i="1"/>
  <c r="J235" i="1"/>
  <c r="AD235" i="1" s="1"/>
  <c r="AF235" i="1" s="1"/>
  <c r="I227" i="1"/>
  <c r="J227" i="1"/>
  <c r="I218" i="1"/>
  <c r="J218" i="1"/>
  <c r="I210" i="1"/>
  <c r="J210" i="1"/>
  <c r="I202" i="1"/>
  <c r="J202" i="1"/>
  <c r="J194" i="1"/>
  <c r="I194" i="1"/>
  <c r="I186" i="1"/>
  <c r="J186" i="1"/>
  <c r="I178" i="1"/>
  <c r="J178" i="1"/>
  <c r="J170" i="1"/>
  <c r="I170" i="1"/>
  <c r="I162" i="1"/>
  <c r="J162" i="1"/>
  <c r="I154" i="1"/>
  <c r="J154" i="1"/>
  <c r="J146" i="1"/>
  <c r="I146" i="1"/>
  <c r="I138" i="1"/>
  <c r="J138" i="1"/>
  <c r="I130" i="1"/>
  <c r="J130" i="1"/>
  <c r="AD130" i="1" s="1"/>
  <c r="AF130" i="1" s="1"/>
  <c r="I122" i="1"/>
  <c r="J122" i="1"/>
  <c r="AD122" i="1" s="1"/>
  <c r="AF122" i="1" s="1"/>
  <c r="I114" i="1"/>
  <c r="J114" i="1"/>
  <c r="I106" i="1"/>
  <c r="J106" i="1"/>
  <c r="J99" i="1"/>
  <c r="I99" i="1"/>
  <c r="I91" i="1"/>
  <c r="J91" i="1"/>
  <c r="I83" i="1"/>
  <c r="J83" i="1"/>
  <c r="J75" i="1"/>
  <c r="I75" i="1"/>
  <c r="I67" i="1"/>
  <c r="J67" i="1"/>
  <c r="J59" i="1"/>
  <c r="I59" i="1"/>
  <c r="N76" i="1"/>
  <c r="N107" i="1"/>
  <c r="N139" i="1"/>
  <c r="N147" i="1"/>
  <c r="N171" i="1"/>
  <c r="N203" i="1"/>
  <c r="N219" i="1"/>
  <c r="N251" i="1"/>
  <c r="N267" i="1"/>
  <c r="N275" i="1"/>
  <c r="N291" i="1"/>
  <c r="N299" i="1"/>
  <c r="N331" i="1"/>
  <c r="N339" i="1"/>
  <c r="N355" i="1"/>
  <c r="N363" i="1"/>
  <c r="N387" i="1"/>
  <c r="N411" i="1"/>
  <c r="R294" i="1"/>
  <c r="R227" i="1"/>
  <c r="R230" i="1"/>
  <c r="R355" i="1"/>
  <c r="R315" i="1"/>
  <c r="R283" i="1"/>
  <c r="R179" i="1"/>
  <c r="R243" i="1"/>
  <c r="R142" i="1"/>
  <c r="R379" i="1"/>
  <c r="R307" i="1"/>
  <c r="R206" i="1"/>
  <c r="R139" i="1"/>
  <c r="R277" i="1"/>
  <c r="R334" i="1"/>
  <c r="R321" i="1"/>
  <c r="R257" i="1"/>
  <c r="R217" i="1"/>
  <c r="R396" i="1"/>
  <c r="R151" i="1"/>
  <c r="K385" i="1"/>
  <c r="K369" i="1"/>
  <c r="N408" i="1"/>
  <c r="N362" i="1"/>
  <c r="N337" i="1"/>
  <c r="N323" i="1"/>
  <c r="N285" i="1"/>
  <c r="N273" i="1"/>
  <c r="N259" i="1"/>
  <c r="N361" i="1"/>
  <c r="N347" i="1"/>
  <c r="N322" i="1"/>
  <c r="N283" i="1"/>
  <c r="N271" i="1"/>
  <c r="N242" i="1"/>
  <c r="N206" i="1"/>
  <c r="N346" i="1"/>
  <c r="N321" i="1"/>
  <c r="N307" i="1"/>
  <c r="N295" i="1"/>
  <c r="N282" i="1"/>
  <c r="AC385" i="1"/>
  <c r="AE385" i="1" s="1"/>
  <c r="AG385" i="1" s="1"/>
  <c r="AB385" i="1" s="1"/>
  <c r="N345" i="1"/>
  <c r="N306" i="1"/>
  <c r="N281" i="1"/>
  <c r="N254" i="1"/>
  <c r="N134" i="1"/>
  <c r="N71" i="1"/>
  <c r="N392" i="1"/>
  <c r="N305" i="1"/>
  <c r="N222" i="1"/>
  <c r="AC369" i="1"/>
  <c r="AE369" i="1" s="1"/>
  <c r="AG369" i="1" s="1"/>
  <c r="AB369" i="1" s="1"/>
  <c r="N190" i="1"/>
  <c r="N158" i="1"/>
  <c r="N126" i="1"/>
  <c r="N95" i="1"/>
  <c r="N63" i="1"/>
  <c r="N256" i="1"/>
  <c r="S380" i="1"/>
  <c r="S128" i="1"/>
  <c r="S384" i="1"/>
  <c r="R155" i="1"/>
  <c r="R378" i="1"/>
  <c r="R397" i="1"/>
  <c r="R372" i="1"/>
  <c r="R346" i="1"/>
  <c r="R333" i="1"/>
  <c r="R308" i="1"/>
  <c r="R282" i="1"/>
  <c r="R180" i="1"/>
  <c r="R167" i="1"/>
  <c r="R154" i="1"/>
  <c r="R370" i="1"/>
  <c r="R357" i="1"/>
  <c r="R306" i="1"/>
  <c r="R229" i="1"/>
  <c r="R178" i="1"/>
  <c r="R394" i="1"/>
  <c r="R356" i="1"/>
  <c r="R292" i="1"/>
  <c r="R164" i="1"/>
  <c r="R138" i="1"/>
  <c r="R166" i="1"/>
  <c r="S166" i="1"/>
  <c r="R158" i="1"/>
  <c r="S158" i="1"/>
  <c r="S118" i="1"/>
  <c r="R118" i="1"/>
  <c r="S110" i="1"/>
  <c r="R110" i="1"/>
  <c r="R102" i="1"/>
  <c r="S95" i="1"/>
  <c r="R95" i="1"/>
  <c r="S256" i="1"/>
  <c r="AD256" i="1"/>
  <c r="AF256" i="1" s="1"/>
  <c r="R248" i="1"/>
  <c r="S232" i="1"/>
  <c r="R232" i="1"/>
  <c r="R223" i="1"/>
  <c r="S215" i="1"/>
  <c r="R215" i="1"/>
  <c r="R207" i="1"/>
  <c r="R199" i="1"/>
  <c r="AD199" i="1"/>
  <c r="AF199" i="1" s="1"/>
  <c r="R191" i="1"/>
  <c r="S183" i="1"/>
  <c r="R175" i="1"/>
  <c r="R159" i="1"/>
  <c r="S151" i="1"/>
  <c r="R143" i="1"/>
  <c r="R135" i="1"/>
  <c r="S127" i="1"/>
  <c r="R96" i="1"/>
  <c r="S394" i="1"/>
  <c r="S343" i="1"/>
  <c r="S335" i="1"/>
  <c r="S319" i="1"/>
  <c r="S311" i="1"/>
  <c r="S303" i="1"/>
  <c r="S263" i="1"/>
  <c r="S255" i="1"/>
  <c r="S247" i="1"/>
  <c r="R239" i="1"/>
  <c r="S222" i="1"/>
  <c r="S214" i="1"/>
  <c r="S190" i="1"/>
  <c r="S409" i="1"/>
  <c r="R409" i="1"/>
  <c r="S401" i="1"/>
  <c r="R393" i="1"/>
  <c r="S383" i="1"/>
  <c r="R383" i="1"/>
  <c r="S366" i="1"/>
  <c r="S358" i="1"/>
  <c r="S342" i="1"/>
  <c r="S318" i="1"/>
  <c r="S302" i="1"/>
  <c r="S294" i="1"/>
  <c r="S278" i="1"/>
  <c r="S254" i="1"/>
  <c r="S238" i="1"/>
  <c r="R213" i="1"/>
  <c r="AD213" i="1"/>
  <c r="AF213" i="1" s="1"/>
  <c r="S213" i="1"/>
  <c r="S173" i="1"/>
  <c r="S149" i="1"/>
  <c r="S133" i="1"/>
  <c r="S125" i="1"/>
  <c r="S117" i="1"/>
  <c r="R109" i="1"/>
  <c r="R94" i="1"/>
  <c r="S412" i="1"/>
  <c r="S404" i="1"/>
  <c r="S388" i="1"/>
  <c r="S370" i="1"/>
  <c r="R345" i="1"/>
  <c r="S345" i="1"/>
  <c r="S321" i="1"/>
  <c r="S313" i="1"/>
  <c r="R305" i="1"/>
  <c r="S297" i="1"/>
  <c r="R297" i="1"/>
  <c r="S289" i="1"/>
  <c r="S281" i="1"/>
  <c r="S273" i="1"/>
  <c r="AD273" i="1"/>
  <c r="AF273" i="1" s="1"/>
  <c r="S265" i="1"/>
  <c r="R249" i="1"/>
  <c r="S411" i="1"/>
  <c r="S395" i="1"/>
  <c r="R368" i="1"/>
  <c r="S360" i="1"/>
  <c r="S344" i="1"/>
  <c r="S336" i="1"/>
  <c r="R312" i="1"/>
  <c r="R304" i="1"/>
  <c r="AD272" i="1"/>
  <c r="AF272" i="1" s="1"/>
  <c r="S264" i="1"/>
  <c r="S408" i="1"/>
  <c r="S392" i="1"/>
  <c r="S382" i="1"/>
  <c r="S374" i="1"/>
  <c r="S301" i="1"/>
  <c r="S277" i="1"/>
  <c r="AD269" i="1"/>
  <c r="AF269" i="1" s="1"/>
  <c r="R212" i="1"/>
  <c r="S204" i="1"/>
  <c r="R188" i="1"/>
  <c r="S188" i="1"/>
  <c r="R172" i="1"/>
  <c r="R148" i="1"/>
  <c r="R116" i="1"/>
  <c r="S116" i="1"/>
  <c r="R108" i="1"/>
  <c r="S93" i="1"/>
  <c r="R93" i="1"/>
  <c r="S399" i="1"/>
  <c r="S364" i="1"/>
  <c r="S356" i="1"/>
  <c r="R340" i="1"/>
  <c r="S324" i="1"/>
  <c r="R316" i="1"/>
  <c r="S300" i="1"/>
  <c r="S284" i="1"/>
  <c r="R276" i="1"/>
  <c r="S178" i="1"/>
  <c r="S170" i="1"/>
  <c r="S154" i="1"/>
  <c r="S146" i="1"/>
  <c r="S138" i="1"/>
  <c r="S130" i="1"/>
  <c r="S122" i="1"/>
  <c r="S114" i="1"/>
  <c r="R114" i="1"/>
  <c r="S106" i="1"/>
  <c r="R106" i="1"/>
  <c r="S99" i="1"/>
  <c r="R99" i="1"/>
  <c r="AD252" i="1"/>
  <c r="AF252" i="1" s="1"/>
  <c r="S179" i="1"/>
  <c r="S155" i="1"/>
  <c r="S147" i="1"/>
  <c r="S139" i="1"/>
  <c r="AD123" i="1"/>
  <c r="AF123" i="1" s="1"/>
  <c r="S100" i="1"/>
  <c r="S406" i="1"/>
  <c r="S398" i="1"/>
  <c r="S390" i="1"/>
  <c r="R380" i="1"/>
  <c r="S372" i="1"/>
  <c r="S355" i="1"/>
  <c r="S347" i="1"/>
  <c r="S339" i="1"/>
  <c r="S331" i="1"/>
  <c r="S267" i="1"/>
  <c r="AD267" i="1"/>
  <c r="AF267" i="1" s="1"/>
  <c r="AD251" i="1"/>
  <c r="AF251" i="1" s="1"/>
  <c r="S210" i="1"/>
  <c r="S202" i="1"/>
  <c r="S194" i="1"/>
  <c r="S186" i="1"/>
  <c r="S405" i="1"/>
  <c r="S371" i="1"/>
  <c r="S362" i="1"/>
  <c r="S346" i="1"/>
  <c r="S330" i="1"/>
  <c r="S306" i="1"/>
  <c r="S298" i="1"/>
  <c r="S282" i="1"/>
  <c r="S258" i="1"/>
  <c r="S250" i="1"/>
  <c r="S234" i="1"/>
  <c r="AD234" i="1"/>
  <c r="AF234" i="1" s="1"/>
  <c r="S225" i="1"/>
  <c r="AD225" i="1"/>
  <c r="AF225" i="1" s="1"/>
  <c r="S209" i="1"/>
  <c r="R209" i="1"/>
  <c r="R201" i="1"/>
  <c r="R193" i="1"/>
  <c r="S185" i="1"/>
  <c r="R177" i="1"/>
  <c r="S177" i="1"/>
  <c r="R169" i="1"/>
  <c r="S169" i="1"/>
  <c r="S161" i="1"/>
  <c r="R161" i="1"/>
  <c r="R153" i="1"/>
  <c r="S153" i="1"/>
  <c r="R145" i="1"/>
  <c r="R137" i="1"/>
  <c r="S129" i="1"/>
  <c r="S121" i="1"/>
  <c r="AD121" i="1"/>
  <c r="AF121" i="1" s="1"/>
  <c r="S113" i="1"/>
  <c r="R113" i="1"/>
  <c r="S98" i="1"/>
  <c r="R98" i="1"/>
  <c r="AD241" i="1"/>
  <c r="AF241" i="1" s="1"/>
  <c r="S233" i="1"/>
  <c r="R233" i="1"/>
  <c r="AD233" i="1"/>
  <c r="AF233" i="1" s="1"/>
  <c r="R224" i="1"/>
  <c r="S216" i="1"/>
  <c r="R216" i="1"/>
  <c r="R208" i="1"/>
  <c r="S200" i="1"/>
  <c r="R192" i="1"/>
  <c r="R176" i="1"/>
  <c r="S168" i="1"/>
  <c r="R168" i="1"/>
  <c r="S160" i="1"/>
  <c r="R160" i="1"/>
  <c r="R152" i="1"/>
  <c r="R144" i="1"/>
  <c r="AD144" i="1"/>
  <c r="AF144" i="1" s="1"/>
  <c r="R136" i="1"/>
  <c r="AD120" i="1"/>
  <c r="AF120" i="1" s="1"/>
  <c r="R112" i="1"/>
  <c r="S104" i="1"/>
  <c r="R104" i="1"/>
  <c r="R97" i="1"/>
  <c r="K384" i="1"/>
  <c r="AC226" i="1"/>
  <c r="AE226" i="1" s="1"/>
  <c r="AG226" i="1" s="1"/>
  <c r="AB226" i="1" s="1"/>
  <c r="K226" i="1"/>
  <c r="R291" i="1"/>
  <c r="R219" i="1"/>
  <c r="R203" i="1"/>
  <c r="R195" i="1"/>
  <c r="R187" i="1"/>
  <c r="R163" i="1"/>
  <c r="R115" i="1"/>
  <c r="R107" i="1"/>
  <c r="R100" i="1"/>
  <c r="AG384" i="1"/>
  <c r="AB384" i="1" s="1"/>
  <c r="N385" i="1"/>
  <c r="N384" i="1"/>
  <c r="N369" i="1"/>
  <c r="N360" i="1"/>
  <c r="N312" i="1"/>
  <c r="N296" i="1"/>
  <c r="N240" i="1"/>
  <c r="N340" i="1"/>
  <c r="N276" i="1"/>
  <c r="N140" i="1"/>
  <c r="N77" i="1"/>
  <c r="N231" i="1"/>
  <c r="N167" i="1"/>
  <c r="N132" i="1"/>
  <c r="N150" i="1"/>
  <c r="N87" i="1"/>
  <c r="N236" i="1"/>
  <c r="N381" i="1"/>
  <c r="N293" i="1"/>
  <c r="N237" i="1"/>
  <c r="N189" i="1"/>
  <c r="N125" i="1"/>
  <c r="N62" i="1"/>
  <c r="N116" i="1"/>
  <c r="N412" i="1"/>
  <c r="N404" i="1"/>
  <c r="N380" i="1"/>
  <c r="N372" i="1"/>
  <c r="N348" i="1"/>
  <c r="N316" i="1"/>
  <c r="N292" i="1"/>
  <c r="N252" i="1"/>
  <c r="N220" i="1"/>
  <c r="N212" i="1"/>
  <c r="N172" i="1"/>
  <c r="N164" i="1"/>
  <c r="N156" i="1"/>
  <c r="N148" i="1"/>
  <c r="N108" i="1"/>
  <c r="N101" i="1"/>
  <c r="N93" i="1"/>
  <c r="N85" i="1"/>
  <c r="N315" i="1"/>
  <c r="N163" i="1"/>
  <c r="N410" i="1"/>
  <c r="N138" i="1"/>
  <c r="N122" i="1"/>
  <c r="N59" i="1"/>
  <c r="N393" i="1"/>
  <c r="N297" i="1"/>
  <c r="N257" i="1"/>
  <c r="S236" i="1" l="1"/>
  <c r="S332" i="1"/>
  <c r="S349" i="1"/>
  <c r="S242" i="1"/>
  <c r="S402" i="1"/>
  <c r="S107" i="1"/>
  <c r="S275" i="1"/>
  <c r="S230" i="1"/>
  <c r="R262" i="1"/>
  <c r="S227" i="1"/>
  <c r="S350" i="1"/>
  <c r="R253" i="1"/>
  <c r="R365" i="1"/>
  <c r="S316" i="1"/>
  <c r="R401" i="1"/>
  <c r="S165" i="1"/>
  <c r="S407" i="1"/>
  <c r="S174" i="1"/>
  <c r="S241" i="1"/>
  <c r="S172" i="1"/>
  <c r="S385" i="1"/>
  <c r="S102" i="1"/>
  <c r="S120" i="1"/>
  <c r="S163" i="1"/>
  <c r="S212" i="1"/>
  <c r="R302" i="1"/>
  <c r="R272" i="1"/>
  <c r="R140" i="1"/>
  <c r="R141" i="1"/>
  <c r="R361" i="1"/>
  <c r="R211" i="1"/>
  <c r="R359" i="1"/>
  <c r="R289" i="1"/>
  <c r="R290" i="1"/>
  <c r="R146" i="1"/>
  <c r="R325" i="1"/>
  <c r="N177" i="1"/>
  <c r="N253" i="1"/>
  <c r="N243" i="1"/>
  <c r="N365" i="1"/>
  <c r="N99" i="1"/>
  <c r="N130" i="1"/>
  <c r="N162" i="1"/>
  <c r="N100" i="1"/>
  <c r="N195" i="1"/>
  <c r="N228" i="1"/>
  <c r="N129" i="1"/>
  <c r="N185" i="1"/>
  <c r="N357" i="1"/>
  <c r="N227" i="1"/>
  <c r="N154" i="1"/>
  <c r="N60" i="1"/>
  <c r="N92" i="1"/>
  <c r="N155" i="1"/>
  <c r="N367" i="1"/>
  <c r="N66" i="1"/>
  <c r="N145" i="1"/>
  <c r="N382" i="1"/>
  <c r="N83" i="1"/>
  <c r="N114" i="1"/>
  <c r="N137" i="1"/>
  <c r="N201" i="1"/>
  <c r="R186" i="1"/>
  <c r="R324" i="1"/>
  <c r="R342" i="1"/>
  <c r="R384" i="1"/>
  <c r="R301" i="1"/>
  <c r="R285" i="1"/>
  <c r="R398" i="1"/>
  <c r="Q226" i="1"/>
  <c r="R273" i="1"/>
  <c r="R336" i="1"/>
  <c r="R274" i="1"/>
  <c r="R254" i="1"/>
  <c r="R343" i="1"/>
  <c r="S140" i="1"/>
  <c r="S251" i="1"/>
  <c r="S268" i="1"/>
  <c r="AD327" i="1"/>
  <c r="AF327" i="1" s="1"/>
  <c r="S276" i="1"/>
  <c r="S373" i="1"/>
  <c r="R296" i="1"/>
  <c r="R407" i="1"/>
  <c r="R218" i="1"/>
  <c r="S252" i="1"/>
  <c r="R353" i="1"/>
  <c r="R326" i="1"/>
  <c r="R339" i="1"/>
  <c r="S291" i="1"/>
  <c r="S156" i="1"/>
  <c r="S348" i="1"/>
  <c r="S397" i="1"/>
  <c r="S249" i="1"/>
  <c r="R132" i="1"/>
  <c r="R385" i="1"/>
  <c r="R281" i="1"/>
  <c r="S309" i="1"/>
  <c r="S326" i="1"/>
  <c r="R256" i="1"/>
  <c r="R317" i="1"/>
  <c r="R405" i="1"/>
  <c r="R244" i="1"/>
  <c r="R228" i="1"/>
  <c r="R255" i="1"/>
  <c r="R252" i="1"/>
  <c r="R124" i="1"/>
  <c r="Q267" i="1"/>
  <c r="R295" i="1"/>
  <c r="AC268" i="1"/>
  <c r="AE268" i="1" s="1"/>
  <c r="R123" i="1"/>
  <c r="R120" i="1"/>
  <c r="R128" i="1"/>
  <c r="R127" i="1"/>
  <c r="R270" i="1"/>
  <c r="R247" i="1"/>
  <c r="R121" i="1"/>
  <c r="R269" i="1"/>
  <c r="R185" i="1"/>
  <c r="R265" i="1"/>
  <c r="R122" i="1"/>
  <c r="R337" i="1"/>
  <c r="R266" i="1"/>
  <c r="R410" i="1"/>
  <c r="R303" i="1"/>
  <c r="R130" i="1"/>
  <c r="R373" i="1"/>
  <c r="R358" i="1"/>
  <c r="Q354" i="1"/>
  <c r="R260" i="1"/>
  <c r="R364" i="1"/>
  <c r="R133" i="1"/>
  <c r="R311" i="1"/>
  <c r="R381" i="1"/>
  <c r="R322" i="1"/>
  <c r="R360" i="1"/>
  <c r="R386" i="1"/>
  <c r="Q314" i="1"/>
  <c r="R264" i="1"/>
  <c r="R125" i="1"/>
  <c r="R241" i="1"/>
  <c r="R226" i="1"/>
  <c r="Q401" i="1"/>
  <c r="Q134" i="1"/>
  <c r="S123" i="1"/>
  <c r="AD196" i="1"/>
  <c r="AF196" i="1" s="1"/>
  <c r="Q345" i="1"/>
  <c r="R258" i="1"/>
  <c r="R284" i="1"/>
  <c r="S243" i="1"/>
  <c r="Q110" i="1"/>
  <c r="S195" i="1"/>
  <c r="S198" i="1"/>
  <c r="S262" i="1"/>
  <c r="S272" i="1"/>
  <c r="Q387" i="1"/>
  <c r="S203" i="1"/>
  <c r="S224" i="1"/>
  <c r="S219" i="1"/>
  <c r="S131" i="1"/>
  <c r="R350" i="1"/>
  <c r="S340" i="1"/>
  <c r="S240" i="1"/>
  <c r="S283" i="1"/>
  <c r="S235" i="1"/>
  <c r="S363" i="1"/>
  <c r="Q385" i="1"/>
  <c r="Q251" i="1"/>
  <c r="Q212" i="1"/>
  <c r="Q190" i="1"/>
  <c r="Q118" i="1"/>
  <c r="M4" i="1"/>
  <c r="J4" i="1"/>
  <c r="L4" i="1"/>
  <c r="I4" i="1"/>
  <c r="Q248" i="1"/>
  <c r="Q358" i="1"/>
  <c r="Q206" i="1"/>
  <c r="Q347" i="1"/>
  <c r="Q102" i="1"/>
  <c r="AC377" i="1"/>
  <c r="AE377" i="1" s="1"/>
  <c r="Q159" i="1"/>
  <c r="Q126" i="1"/>
  <c r="Q174" i="1"/>
  <c r="Q280" i="1"/>
  <c r="Q95" i="1"/>
  <c r="Q214" i="1"/>
  <c r="AC324" i="1"/>
  <c r="AE324" i="1" s="1"/>
  <c r="Q158" i="1"/>
  <c r="Q312" i="1"/>
  <c r="Q318" i="1"/>
  <c r="R318" i="1"/>
  <c r="Q376" i="1"/>
  <c r="Q182" i="1"/>
  <c r="Q366" i="1"/>
  <c r="Q393" i="1"/>
  <c r="Q142" i="1"/>
  <c r="R190" i="1"/>
  <c r="Q286" i="1"/>
  <c r="Q296" i="1"/>
  <c r="Q145" i="1"/>
  <c r="Q173" i="1"/>
  <c r="Q343" i="1"/>
  <c r="Q344" i="1"/>
  <c r="Q341" i="1"/>
  <c r="AC404" i="1"/>
  <c r="AE404" i="1" s="1"/>
  <c r="K82" i="1"/>
  <c r="K355" i="1"/>
  <c r="K377" i="1"/>
  <c r="K395" i="1"/>
  <c r="K297" i="1"/>
  <c r="K313" i="1"/>
  <c r="K329" i="1"/>
  <c r="K361" i="1"/>
  <c r="K396" i="1"/>
  <c r="K412" i="1"/>
  <c r="Q125" i="1"/>
  <c r="Q247" i="1"/>
  <c r="Q394" i="1"/>
  <c r="Q148" i="1"/>
  <c r="Q201" i="1"/>
  <c r="K275" i="1"/>
  <c r="K339" i="1"/>
  <c r="K140" i="1"/>
  <c r="K204" i="1"/>
  <c r="Q375" i="1"/>
  <c r="K284" i="1"/>
  <c r="K300" i="1"/>
  <c r="K348" i="1"/>
  <c r="K364" i="1"/>
  <c r="Q328" i="1"/>
  <c r="Q370" i="1"/>
  <c r="AC259" i="1"/>
  <c r="AE259" i="1" s="1"/>
  <c r="K113" i="1"/>
  <c r="K323" i="1"/>
  <c r="K172" i="1"/>
  <c r="K188" i="1"/>
  <c r="Q411" i="1"/>
  <c r="Q186" i="1"/>
  <c r="Q202" i="1"/>
  <c r="Q218" i="1"/>
  <c r="Q101" i="1"/>
  <c r="Q388" i="1"/>
  <c r="K219" i="1"/>
  <c r="Q260" i="1"/>
  <c r="Q404" i="1"/>
  <c r="Q321" i="1"/>
  <c r="Q256" i="1"/>
  <c r="Q234" i="1"/>
  <c r="Q330" i="1"/>
  <c r="Q236" i="1"/>
  <c r="Q338" i="1"/>
  <c r="S201" i="1"/>
  <c r="Q242" i="1"/>
  <c r="Q117" i="1"/>
  <c r="S101" i="1"/>
  <c r="Q371" i="1"/>
  <c r="Q301" i="1"/>
  <c r="Q229" i="1"/>
  <c r="Q331" i="1"/>
  <c r="Q378" i="1"/>
  <c r="Q139" i="1"/>
  <c r="Q156" i="1"/>
  <c r="Q172" i="1"/>
  <c r="Q188" i="1"/>
  <c r="Q403" i="1"/>
  <c r="Q165" i="1"/>
  <c r="Q181" i="1"/>
  <c r="Q310" i="1"/>
  <c r="AD358" i="1"/>
  <c r="AF358" i="1" s="1"/>
  <c r="Q225" i="1"/>
  <c r="Q252" i="1"/>
  <c r="AD394" i="1"/>
  <c r="AF394" i="1" s="1"/>
  <c r="AD151" i="1"/>
  <c r="AF151" i="1" s="1"/>
  <c r="Q313" i="1"/>
  <c r="Q230" i="1"/>
  <c r="Q184" i="1"/>
  <c r="Q200" i="1"/>
  <c r="Q103" i="1"/>
  <c r="Q119" i="1"/>
  <c r="Q183" i="1"/>
  <c r="Q390" i="1"/>
  <c r="Q302" i="1"/>
  <c r="Q111" i="1"/>
  <c r="Q329" i="1"/>
  <c r="Q381" i="1"/>
  <c r="Q105" i="1"/>
  <c r="Q210" i="1"/>
  <c r="Q108" i="1"/>
  <c r="Q124" i="1"/>
  <c r="Q220" i="1"/>
  <c r="Q246" i="1"/>
  <c r="Q294" i="1"/>
  <c r="Q166" i="1"/>
  <c r="R279" i="1"/>
  <c r="Q279" i="1"/>
  <c r="R293" i="1"/>
  <c r="Q293" i="1"/>
  <c r="Q269" i="1"/>
  <c r="Q326" i="1"/>
  <c r="Q143" i="1"/>
  <c r="Q292" i="1"/>
  <c r="Q389" i="1"/>
  <c r="Q223" i="1"/>
  <c r="Q384" i="1"/>
  <c r="R387" i="1"/>
  <c r="Q207" i="1"/>
  <c r="Q213" i="1"/>
  <c r="Q335" i="1"/>
  <c r="R117" i="1"/>
  <c r="Q107" i="1"/>
  <c r="Q332" i="1"/>
  <c r="Q257" i="1"/>
  <c r="Q171" i="1"/>
  <c r="R235" i="1"/>
  <c r="Q154" i="1"/>
  <c r="Q254" i="1"/>
  <c r="Q189" i="1"/>
  <c r="R111" i="1"/>
  <c r="Q334" i="1"/>
  <c r="Q141" i="1"/>
  <c r="Q208" i="1"/>
  <c r="AC185" i="1"/>
  <c r="AE185" i="1" s="1"/>
  <c r="R210" i="1"/>
  <c r="Q291" i="1"/>
  <c r="Q177" i="1"/>
  <c r="Q94" i="1"/>
  <c r="Q157" i="1"/>
  <c r="Q379" i="1"/>
  <c r="Q365" i="1"/>
  <c r="Q99" i="1"/>
  <c r="Q93" i="1"/>
  <c r="R156" i="1"/>
  <c r="R236" i="1"/>
  <c r="AC300" i="1"/>
  <c r="AE300" i="1" s="1"/>
  <c r="Q355" i="1"/>
  <c r="Q152" i="1"/>
  <c r="Q169" i="1"/>
  <c r="Q298" i="1"/>
  <c r="Q121" i="1"/>
  <c r="Q140" i="1"/>
  <c r="Q194" i="1"/>
  <c r="R330" i="1"/>
  <c r="Q205" i="1"/>
  <c r="Q399" i="1"/>
  <c r="Q115" i="1"/>
  <c r="R251" i="1"/>
  <c r="R403" i="1"/>
  <c r="Q315" i="1"/>
  <c r="N103" i="1"/>
  <c r="N105" i="1"/>
  <c r="N233" i="1"/>
  <c r="N386" i="1"/>
  <c r="N123" i="1"/>
  <c r="N260" i="1"/>
  <c r="N266" i="1"/>
  <c r="N86" i="1"/>
  <c r="N149" i="1"/>
  <c r="N213" i="1"/>
  <c r="N277" i="1"/>
  <c r="N405" i="1"/>
  <c r="N72" i="1"/>
  <c r="N135" i="1"/>
  <c r="N199" i="1"/>
  <c r="N263" i="1"/>
  <c r="N391" i="1"/>
  <c r="N308" i="1"/>
  <c r="N104" i="1"/>
  <c r="N168" i="1"/>
  <c r="N402" i="1"/>
  <c r="N165" i="1"/>
  <c r="N88" i="1"/>
  <c r="Q402" i="1"/>
  <c r="R338" i="1"/>
  <c r="Q209" i="1"/>
  <c r="Q396" i="1"/>
  <c r="Q116" i="1"/>
  <c r="Q180" i="1"/>
  <c r="Q308" i="1"/>
  <c r="Q109" i="1"/>
  <c r="Q237" i="1"/>
  <c r="Q309" i="1"/>
  <c r="Q98" i="1"/>
  <c r="Q398" i="1"/>
  <c r="Q238" i="1"/>
  <c r="AC113" i="1"/>
  <c r="AE113" i="1" s="1"/>
  <c r="Q259" i="1"/>
  <c r="Q179" i="1"/>
  <c r="Q324" i="1"/>
  <c r="Q265" i="1"/>
  <c r="Q162" i="1"/>
  <c r="Q346" i="1"/>
  <c r="Q409" i="1"/>
  <c r="Q356" i="1"/>
  <c r="Q277" i="1"/>
  <c r="Q249" i="1"/>
  <c r="Q406" i="1"/>
  <c r="Q193" i="1"/>
  <c r="Q392" i="1"/>
  <c r="Q104" i="1"/>
  <c r="Q168" i="1"/>
  <c r="Q216" i="1"/>
  <c r="Q288" i="1"/>
  <c r="Q320" i="1"/>
  <c r="Q352" i="1"/>
  <c r="Q299" i="1"/>
  <c r="R259" i="1"/>
  <c r="Q123" i="1"/>
  <c r="Q187" i="1"/>
  <c r="Q339" i="1"/>
  <c r="Q100" i="1"/>
  <c r="AC227" i="1"/>
  <c r="AE227" i="1" s="1"/>
  <c r="K193" i="1"/>
  <c r="K171" i="1"/>
  <c r="Q297" i="1"/>
  <c r="Q412" i="1"/>
  <c r="Q316" i="1"/>
  <c r="R103" i="1"/>
  <c r="Q149" i="1"/>
  <c r="Q245" i="1"/>
  <c r="Q357" i="1"/>
  <c r="Q150" i="1"/>
  <c r="Q278" i="1"/>
  <c r="Q400" i="1"/>
  <c r="Q224" i="1"/>
  <c r="R371" i="1"/>
  <c r="Q363" i="1"/>
  <c r="S260" i="1"/>
  <c r="K345" i="1"/>
  <c r="AD254" i="1"/>
  <c r="AF254" i="1" s="1"/>
  <c r="Q191" i="1"/>
  <c r="Q170" i="1"/>
  <c r="Q282" i="1"/>
  <c r="Q305" i="1"/>
  <c r="Q151" i="1"/>
  <c r="Q325" i="1"/>
  <c r="Q408" i="1"/>
  <c r="Q120" i="1"/>
  <c r="Q232" i="1"/>
  <c r="Q211" i="1"/>
  <c r="AC412" i="1"/>
  <c r="AE412" i="1" s="1"/>
  <c r="Q361" i="1"/>
  <c r="Q138" i="1"/>
  <c r="R242" i="1"/>
  <c r="Q337" i="1"/>
  <c r="Q164" i="1"/>
  <c r="Q196" i="1"/>
  <c r="Q228" i="1"/>
  <c r="Q372" i="1"/>
  <c r="Q215" i="1"/>
  <c r="Q221" i="1"/>
  <c r="Q222" i="1"/>
  <c r="Q287" i="1"/>
  <c r="Q289" i="1"/>
  <c r="Q136" i="1"/>
  <c r="R184" i="1"/>
  <c r="Q275" i="1"/>
  <c r="Q147" i="1"/>
  <c r="Q307" i="1"/>
  <c r="K185" i="1"/>
  <c r="K201" i="1"/>
  <c r="K217" i="1"/>
  <c r="K379" i="1"/>
  <c r="K283" i="1"/>
  <c r="K347" i="1"/>
  <c r="K139" i="1"/>
  <c r="K203" i="1"/>
  <c r="Q253" i="1"/>
  <c r="Q367" i="1"/>
  <c r="Q106" i="1"/>
  <c r="Q250" i="1"/>
  <c r="Q290" i="1"/>
  <c r="Q362" i="1"/>
  <c r="Q300" i="1"/>
  <c r="Q261" i="1"/>
  <c r="Q333" i="1"/>
  <c r="Q374" i="1"/>
  <c r="R119" i="1"/>
  <c r="Q351" i="1"/>
  <c r="Q192" i="1"/>
  <c r="Q304" i="1"/>
  <c r="Q336" i="1"/>
  <c r="Q368" i="1"/>
  <c r="Q255" i="1"/>
  <c r="Q271" i="1"/>
  <c r="Q113" i="1"/>
  <c r="Q380" i="1"/>
  <c r="Q204" i="1"/>
  <c r="Q377" i="1"/>
  <c r="Q197" i="1"/>
  <c r="Q382" i="1"/>
  <c r="R183" i="1"/>
  <c r="Q144" i="1"/>
  <c r="R200" i="1"/>
  <c r="Q227" i="1"/>
  <c r="Q323" i="1"/>
  <c r="K74" i="1"/>
  <c r="K105" i="1"/>
  <c r="K243" i="1"/>
  <c r="K267" i="1"/>
  <c r="K331" i="1"/>
  <c r="AD106" i="1"/>
  <c r="AF106" i="1" s="1"/>
  <c r="K260" i="1"/>
  <c r="K276" i="1"/>
  <c r="K292" i="1"/>
  <c r="K69" i="1"/>
  <c r="K85" i="1"/>
  <c r="K116" i="1"/>
  <c r="K132" i="1"/>
  <c r="K148" i="1"/>
  <c r="K180" i="1"/>
  <c r="K212" i="1"/>
  <c r="AD336" i="1"/>
  <c r="AF336" i="1" s="1"/>
  <c r="K387" i="1"/>
  <c r="K321" i="1"/>
  <c r="AD353" i="1"/>
  <c r="AF353" i="1" s="1"/>
  <c r="K404" i="1"/>
  <c r="Q239" i="1"/>
  <c r="Q303" i="1"/>
  <c r="Q319" i="1"/>
  <c r="N169" i="1"/>
  <c r="N187" i="1"/>
  <c r="N110" i="1"/>
  <c r="N174" i="1"/>
  <c r="N196" i="1"/>
  <c r="N113" i="1"/>
  <c r="N68" i="1"/>
  <c r="N395" i="1"/>
  <c r="N284" i="1"/>
  <c r="N298" i="1"/>
  <c r="N349" i="1"/>
  <c r="N61" i="1"/>
  <c r="N55" i="1"/>
  <c r="N118" i="1"/>
  <c r="N112" i="1"/>
  <c r="N176" i="1"/>
  <c r="N274" i="1"/>
  <c r="N109" i="1"/>
  <c r="N159" i="1"/>
  <c r="N262" i="1"/>
  <c r="N223" i="1"/>
  <c r="N258" i="1"/>
  <c r="N79" i="1"/>
  <c r="N328" i="1"/>
  <c r="N209" i="1"/>
  <c r="N290" i="1"/>
  <c r="N214" i="1"/>
  <c r="N239" i="1"/>
  <c r="N303" i="1"/>
  <c r="N81" i="1"/>
  <c r="N144" i="1"/>
  <c r="N208" i="1"/>
  <c r="N173" i="1"/>
  <c r="N301" i="1"/>
  <c r="N326" i="1"/>
  <c r="N96" i="1"/>
  <c r="N314" i="1"/>
  <c r="N245" i="1"/>
  <c r="N142" i="1"/>
  <c r="N359" i="1"/>
  <c r="N264" i="1"/>
  <c r="N82" i="1"/>
  <c r="N90" i="1"/>
  <c r="N370" i="1"/>
  <c r="N356" i="1"/>
  <c r="N180" i="1"/>
  <c r="N89" i="1"/>
  <c r="N152" i="1"/>
  <c r="N216" i="1"/>
  <c r="S97" i="1"/>
  <c r="S176" i="1"/>
  <c r="K356" i="1"/>
  <c r="K164" i="1"/>
  <c r="AC164" i="1"/>
  <c r="AE164" i="1" s="1"/>
  <c r="AC196" i="1"/>
  <c r="AE196" i="1" s="1"/>
  <c r="K196" i="1"/>
  <c r="Q137" i="1"/>
  <c r="R101" i="1"/>
  <c r="Q364" i="1"/>
  <c r="Q217" i="1"/>
  <c r="Q161" i="1"/>
  <c r="Q112" i="1"/>
  <c r="R331" i="1"/>
  <c r="K200" i="1"/>
  <c r="AC200" i="1"/>
  <c r="AE200" i="1" s="1"/>
  <c r="AG200" i="1" s="1"/>
  <c r="AB200" i="1" s="1"/>
  <c r="K298" i="1"/>
  <c r="K330" i="1"/>
  <c r="K362" i="1"/>
  <c r="K390" i="1"/>
  <c r="K68" i="1"/>
  <c r="K163" i="1"/>
  <c r="K228" i="1"/>
  <c r="K244" i="1"/>
  <c r="AC244" i="1"/>
  <c r="AE244" i="1" s="1"/>
  <c r="AG244" i="1" s="1"/>
  <c r="AB244" i="1" s="1"/>
  <c r="S292" i="1"/>
  <c r="AD164" i="1"/>
  <c r="AF164" i="1" s="1"/>
  <c r="S164" i="1"/>
  <c r="N151" i="1"/>
  <c r="N215" i="1"/>
  <c r="N279" i="1"/>
  <c r="N343" i="1"/>
  <c r="N407" i="1"/>
  <c r="N57" i="1"/>
  <c r="N120" i="1"/>
  <c r="N184" i="1"/>
  <c r="N248" i="1"/>
  <c r="N376" i="1"/>
  <c r="R105" i="1"/>
  <c r="K389" i="1"/>
  <c r="K194" i="1"/>
  <c r="K210" i="1"/>
  <c r="K291" i="1"/>
  <c r="K84" i="1"/>
  <c r="Q233" i="1"/>
  <c r="Q114" i="1"/>
  <c r="Q178" i="1"/>
  <c r="Q274" i="1"/>
  <c r="Q306" i="1"/>
  <c r="Q276" i="1"/>
  <c r="Q397" i="1"/>
  <c r="Q160" i="1"/>
  <c r="Q395" i="1"/>
  <c r="Q155" i="1"/>
  <c r="R131" i="1"/>
  <c r="K65" i="1"/>
  <c r="K81" i="1"/>
  <c r="K97" i="1"/>
  <c r="K112" i="1"/>
  <c r="AC112" i="1"/>
  <c r="AE112" i="1" s="1"/>
  <c r="K128" i="1"/>
  <c r="K144" i="1"/>
  <c r="AC144" i="1"/>
  <c r="AE144" i="1" s="1"/>
  <c r="AG144" i="1" s="1"/>
  <c r="AB144" i="1" s="1"/>
  <c r="K160" i="1"/>
  <c r="K176" i="1"/>
  <c r="K192" i="1"/>
  <c r="K208" i="1"/>
  <c r="K224" i="1"/>
  <c r="K241" i="1"/>
  <c r="AC241" i="1"/>
  <c r="AE241" i="1" s="1"/>
  <c r="AG241" i="1" s="1"/>
  <c r="AB241" i="1" s="1"/>
  <c r="K209" i="1"/>
  <c r="K306" i="1"/>
  <c r="K338" i="1"/>
  <c r="K371" i="1"/>
  <c r="K251" i="1"/>
  <c r="AC251" i="1"/>
  <c r="AE251" i="1" s="1"/>
  <c r="AG251" i="1" s="1"/>
  <c r="AB251" i="1" s="1"/>
  <c r="K380" i="1"/>
  <c r="K398" i="1"/>
  <c r="Q97" i="1"/>
  <c r="Q163" i="1"/>
  <c r="R347" i="1"/>
  <c r="S285" i="1"/>
  <c r="Q285" i="1"/>
  <c r="Q153" i="1"/>
  <c r="Q176" i="1"/>
  <c r="AD112" i="1"/>
  <c r="AF112" i="1" s="1"/>
  <c r="S112" i="1"/>
  <c r="R129" i="1"/>
  <c r="Q129" i="1"/>
  <c r="S145" i="1"/>
  <c r="R225" i="1"/>
  <c r="AC186" i="1"/>
  <c r="AE186" i="1" s="1"/>
  <c r="K186" i="1"/>
  <c r="K202" i="1"/>
  <c r="K218" i="1"/>
  <c r="K235" i="1"/>
  <c r="AC235" i="1"/>
  <c r="AE235" i="1" s="1"/>
  <c r="AG235" i="1" s="1"/>
  <c r="AB235" i="1" s="1"/>
  <c r="K60" i="1"/>
  <c r="K76" i="1"/>
  <c r="K92" i="1"/>
  <c r="K155" i="1"/>
  <c r="K245" i="1"/>
  <c r="AC245" i="1"/>
  <c r="AE245" i="1" s="1"/>
  <c r="AG245" i="1" s="1"/>
  <c r="AB245" i="1" s="1"/>
  <c r="K261" i="1"/>
  <c r="K277" i="1"/>
  <c r="K293" i="1"/>
  <c r="K341" i="1"/>
  <c r="K408" i="1"/>
  <c r="K288" i="1"/>
  <c r="AC288" i="1"/>
  <c r="AE288" i="1" s="1"/>
  <c r="K320" i="1"/>
  <c r="K352" i="1"/>
  <c r="AC352" i="1"/>
  <c r="AE352" i="1" s="1"/>
  <c r="K117" i="1"/>
  <c r="K239" i="1"/>
  <c r="AC239" i="1"/>
  <c r="AE239" i="1" s="1"/>
  <c r="S288" i="1"/>
  <c r="S304" i="1"/>
  <c r="S320" i="1"/>
  <c r="S352" i="1"/>
  <c r="S368" i="1"/>
  <c r="S192" i="1"/>
  <c r="S208" i="1"/>
  <c r="K153" i="1"/>
  <c r="AC153" i="1"/>
  <c r="AE153" i="1" s="1"/>
  <c r="K169" i="1"/>
  <c r="K234" i="1"/>
  <c r="K250" i="1"/>
  <c r="K282" i="1"/>
  <c r="K397" i="1"/>
  <c r="K259" i="1"/>
  <c r="K115" i="1"/>
  <c r="K179" i="1"/>
  <c r="K67" i="1"/>
  <c r="K83" i="1"/>
  <c r="K99" i="1"/>
  <c r="K114" i="1"/>
  <c r="AC114" i="1"/>
  <c r="AE114" i="1" s="1"/>
  <c r="K130" i="1"/>
  <c r="K146" i="1"/>
  <c r="K162" i="1"/>
  <c r="K178" i="1"/>
  <c r="K399" i="1"/>
  <c r="AC399" i="1"/>
  <c r="AE399" i="1" s="1"/>
  <c r="K269" i="1"/>
  <c r="AC269" i="1"/>
  <c r="AE269" i="1" s="1"/>
  <c r="K301" i="1"/>
  <c r="K317" i="1"/>
  <c r="K333" i="1"/>
  <c r="K382" i="1"/>
  <c r="K400" i="1"/>
  <c r="K280" i="1"/>
  <c r="AC280" i="1"/>
  <c r="AE280" i="1" s="1"/>
  <c r="K312" i="1"/>
  <c r="K344" i="1"/>
  <c r="K249" i="1"/>
  <c r="AC265" i="1"/>
  <c r="AE265" i="1" s="1"/>
  <c r="AG265" i="1" s="1"/>
  <c r="AB265" i="1" s="1"/>
  <c r="K265" i="1"/>
  <c r="Q349" i="1"/>
  <c r="K57" i="1"/>
  <c r="K73" i="1"/>
  <c r="K89" i="1"/>
  <c r="K104" i="1"/>
  <c r="K120" i="1"/>
  <c r="K136" i="1"/>
  <c r="K152" i="1"/>
  <c r="K168" i="1"/>
  <c r="K184" i="1"/>
  <c r="K216" i="1"/>
  <c r="AC216" i="1"/>
  <c r="AE216" i="1" s="1"/>
  <c r="AG216" i="1" s="1"/>
  <c r="AB216" i="1" s="1"/>
  <c r="K233" i="1"/>
  <c r="AC233" i="1"/>
  <c r="AE233" i="1" s="1"/>
  <c r="AG233" i="1" s="1"/>
  <c r="AB233" i="1" s="1"/>
  <c r="K58" i="1"/>
  <c r="K90" i="1"/>
  <c r="K121" i="1"/>
  <c r="K137" i="1"/>
  <c r="K266" i="1"/>
  <c r="K314" i="1"/>
  <c r="AC346" i="1"/>
  <c r="AE346" i="1" s="1"/>
  <c r="K346" i="1"/>
  <c r="S280" i="1"/>
  <c r="AD296" i="1"/>
  <c r="AF296" i="1" s="1"/>
  <c r="S296" i="1"/>
  <c r="S312" i="1"/>
  <c r="S328" i="1"/>
  <c r="K403" i="1"/>
  <c r="S136" i="1"/>
  <c r="S152" i="1"/>
  <c r="K161" i="1"/>
  <c r="K177" i="1"/>
  <c r="K225" i="1"/>
  <c r="K242" i="1"/>
  <c r="K258" i="1"/>
  <c r="AC274" i="1"/>
  <c r="AE274" i="1" s="1"/>
  <c r="K274" i="1"/>
  <c r="K405" i="1"/>
  <c r="K227" i="1"/>
  <c r="K315" i="1"/>
  <c r="K123" i="1"/>
  <c r="K147" i="1"/>
  <c r="K211" i="1"/>
  <c r="AC211" i="1"/>
  <c r="AE211" i="1" s="1"/>
  <c r="K367" i="1"/>
  <c r="K386" i="1"/>
  <c r="K402" i="1"/>
  <c r="K72" i="1"/>
  <c r="K103" i="1"/>
  <c r="AC103" i="1"/>
  <c r="AE103" i="1" s="1"/>
  <c r="K135" i="1"/>
  <c r="K151" i="1"/>
  <c r="AC151" i="1"/>
  <c r="AE151" i="1" s="1"/>
  <c r="K167" i="1"/>
  <c r="K199" i="1"/>
  <c r="K215" i="1"/>
  <c r="AC215" i="1"/>
  <c r="AE215" i="1" s="1"/>
  <c r="AG215" i="1" s="1"/>
  <c r="AB215" i="1" s="1"/>
  <c r="K232" i="1"/>
  <c r="K248" i="1"/>
  <c r="AC248" i="1"/>
  <c r="AE248" i="1" s="1"/>
  <c r="AG248" i="1" s="1"/>
  <c r="AB248" i="1" s="1"/>
  <c r="K55" i="1"/>
  <c r="K71" i="1"/>
  <c r="K87" i="1"/>
  <c r="K134" i="1"/>
  <c r="AC134" i="1"/>
  <c r="AE134" i="1" s="1"/>
  <c r="K150" i="1"/>
  <c r="K66" i="1"/>
  <c r="K98" i="1"/>
  <c r="K129" i="1"/>
  <c r="AC129" i="1"/>
  <c r="AE129" i="1" s="1"/>
  <c r="K145" i="1"/>
  <c r="K290" i="1"/>
  <c r="K322" i="1"/>
  <c r="K354" i="1"/>
  <c r="K299" i="1"/>
  <c r="K363" i="1"/>
  <c r="K107" i="1"/>
  <c r="K131" i="1"/>
  <c r="K195" i="1"/>
  <c r="K236" i="1"/>
  <c r="AC252" i="1"/>
  <c r="AE252" i="1" s="1"/>
  <c r="AG252" i="1" s="1"/>
  <c r="AB252" i="1" s="1"/>
  <c r="K252" i="1"/>
  <c r="K268" i="1"/>
  <c r="K316" i="1"/>
  <c r="K332" i="1"/>
  <c r="K381" i="1"/>
  <c r="AD399" i="1"/>
  <c r="AF399" i="1" s="1"/>
  <c r="K61" i="1"/>
  <c r="K93" i="1"/>
  <c r="K108" i="1"/>
  <c r="K124" i="1"/>
  <c r="K220" i="1"/>
  <c r="K237" i="1"/>
  <c r="K253" i="1"/>
  <c r="AC253" i="1"/>
  <c r="AE253" i="1" s="1"/>
  <c r="AG253" i="1" s="1"/>
  <c r="AB253" i="1" s="1"/>
  <c r="K285" i="1"/>
  <c r="K349" i="1"/>
  <c r="K365" i="1"/>
  <c r="K264" i="1"/>
  <c r="K296" i="1"/>
  <c r="K328" i="1"/>
  <c r="K360" i="1"/>
  <c r="K281" i="1"/>
  <c r="AD246" i="1"/>
  <c r="AF246" i="1" s="1"/>
  <c r="K255" i="1"/>
  <c r="K56" i="1"/>
  <c r="AC56" i="1"/>
  <c r="AE56" i="1" s="1"/>
  <c r="K88" i="1"/>
  <c r="K119" i="1"/>
  <c r="K183" i="1"/>
  <c r="AC183" i="1"/>
  <c r="AE183" i="1" s="1"/>
  <c r="AG183" i="1" s="1"/>
  <c r="AB183" i="1" s="1"/>
  <c r="K102" i="1"/>
  <c r="K118" i="1"/>
  <c r="K166" i="1"/>
  <c r="K77" i="1"/>
  <c r="K156" i="1"/>
  <c r="K378" i="1"/>
  <c r="K141" i="1"/>
  <c r="K157" i="1"/>
  <c r="K205" i="1"/>
  <c r="AC205" i="1"/>
  <c r="AE205" i="1" s="1"/>
  <c r="K254" i="1"/>
  <c r="AC254" i="1"/>
  <c r="AE254" i="1" s="1"/>
  <c r="K270" i="1"/>
  <c r="K286" i="1"/>
  <c r="K302" i="1"/>
  <c r="K318" i="1"/>
  <c r="K334" i="1"/>
  <c r="K350" i="1"/>
  <c r="K366" i="1"/>
  <c r="K383" i="1"/>
  <c r="K62" i="1"/>
  <c r="K78" i="1"/>
  <c r="K94" i="1"/>
  <c r="K109" i="1"/>
  <c r="AC109" i="1"/>
  <c r="AE109" i="1" s="1"/>
  <c r="K125" i="1"/>
  <c r="K189" i="1"/>
  <c r="K221" i="1"/>
  <c r="K238" i="1"/>
  <c r="AD286" i="1"/>
  <c r="AF286" i="1" s="1"/>
  <c r="K401" i="1"/>
  <c r="K198" i="1"/>
  <c r="K214" i="1"/>
  <c r="K231" i="1"/>
  <c r="K263" i="1"/>
  <c r="AC263" i="1"/>
  <c r="AE263" i="1" s="1"/>
  <c r="K279" i="1"/>
  <c r="K295" i="1"/>
  <c r="K311" i="1"/>
  <c r="K327" i="1"/>
  <c r="K343" i="1"/>
  <c r="AC343" i="1"/>
  <c r="AE343" i="1" s="1"/>
  <c r="K359" i="1"/>
  <c r="K376" i="1"/>
  <c r="AC394" i="1"/>
  <c r="AE394" i="1" s="1"/>
  <c r="K394" i="1"/>
  <c r="Q135" i="1"/>
  <c r="S135" i="1"/>
  <c r="Q167" i="1"/>
  <c r="S167" i="1"/>
  <c r="Q199" i="1"/>
  <c r="S199" i="1"/>
  <c r="K307" i="1"/>
  <c r="K372" i="1"/>
  <c r="AC372" i="1"/>
  <c r="AE372" i="1" s="1"/>
  <c r="K406" i="1"/>
  <c r="AC406" i="1"/>
  <c r="AE406" i="1" s="1"/>
  <c r="K100" i="1"/>
  <c r="K59" i="1"/>
  <c r="K75" i="1"/>
  <c r="K91" i="1"/>
  <c r="K106" i="1"/>
  <c r="AC106" i="1"/>
  <c r="AE106" i="1" s="1"/>
  <c r="K122" i="1"/>
  <c r="K138" i="1"/>
  <c r="K154" i="1"/>
  <c r="K170" i="1"/>
  <c r="K308" i="1"/>
  <c r="K324" i="1"/>
  <c r="K340" i="1"/>
  <c r="K373" i="1"/>
  <c r="AC373" i="1"/>
  <c r="AE373" i="1" s="1"/>
  <c r="K391" i="1"/>
  <c r="K407" i="1"/>
  <c r="K309" i="1"/>
  <c r="K325" i="1"/>
  <c r="K357" i="1"/>
  <c r="K374" i="1"/>
  <c r="K392" i="1"/>
  <c r="AC392" i="1"/>
  <c r="AE392" i="1" s="1"/>
  <c r="K272" i="1"/>
  <c r="AC272" i="1"/>
  <c r="AE272" i="1" s="1"/>
  <c r="K304" i="1"/>
  <c r="K336" i="1"/>
  <c r="AC336" i="1"/>
  <c r="AE336" i="1" s="1"/>
  <c r="K368" i="1"/>
  <c r="AC273" i="1"/>
  <c r="AE273" i="1" s="1"/>
  <c r="K273" i="1"/>
  <c r="K289" i="1"/>
  <c r="K305" i="1"/>
  <c r="K337" i="1"/>
  <c r="K353" i="1"/>
  <c r="K370" i="1"/>
  <c r="K388" i="1"/>
  <c r="K173" i="1"/>
  <c r="Q383" i="1"/>
  <c r="K247" i="1"/>
  <c r="AC247" i="1"/>
  <c r="AE247" i="1" s="1"/>
  <c r="AG247" i="1" s="1"/>
  <c r="AB247" i="1" s="1"/>
  <c r="K80" i="1"/>
  <c r="K143" i="1"/>
  <c r="AC143" i="1"/>
  <c r="AE143" i="1" s="1"/>
  <c r="K159" i="1"/>
  <c r="K207" i="1"/>
  <c r="K223" i="1"/>
  <c r="AC223" i="1"/>
  <c r="AE223" i="1" s="1"/>
  <c r="K240" i="1"/>
  <c r="K256" i="1"/>
  <c r="AC256" i="1"/>
  <c r="AE256" i="1" s="1"/>
  <c r="AG256" i="1" s="1"/>
  <c r="AB256" i="1" s="1"/>
  <c r="K63" i="1"/>
  <c r="K79" i="1"/>
  <c r="K95" i="1"/>
  <c r="K110" i="1"/>
  <c r="K126" i="1"/>
  <c r="K142" i="1"/>
  <c r="K158" i="1"/>
  <c r="K174" i="1"/>
  <c r="K182" i="1"/>
  <c r="R231" i="1"/>
  <c r="Q231" i="1"/>
  <c r="R263" i="1"/>
  <c r="Q263" i="1"/>
  <c r="K64" i="1"/>
  <c r="K96" i="1"/>
  <c r="K111" i="1"/>
  <c r="K127" i="1"/>
  <c r="K175" i="1"/>
  <c r="K187" i="1"/>
  <c r="Q391" i="1"/>
  <c r="R391" i="1"/>
  <c r="K101" i="1"/>
  <c r="AC229" i="1"/>
  <c r="AE229" i="1" s="1"/>
  <c r="K229" i="1"/>
  <c r="K411" i="1"/>
  <c r="K257" i="1"/>
  <c r="K149" i="1"/>
  <c r="K213" i="1"/>
  <c r="K230" i="1"/>
  <c r="K262" i="1"/>
  <c r="AC262" i="1"/>
  <c r="AE262" i="1" s="1"/>
  <c r="K278" i="1"/>
  <c r="K310" i="1"/>
  <c r="K326" i="1"/>
  <c r="K342" i="1"/>
  <c r="K375" i="1"/>
  <c r="K393" i="1"/>
  <c r="Q295" i="1"/>
  <c r="S295" i="1"/>
  <c r="S327" i="1"/>
  <c r="Q359" i="1"/>
  <c r="S359" i="1"/>
  <c r="S376" i="1"/>
  <c r="K410" i="1"/>
  <c r="Q127" i="1"/>
  <c r="Q175" i="1"/>
  <c r="K191" i="1"/>
  <c r="K54" i="1"/>
  <c r="K70" i="1"/>
  <c r="K86" i="1"/>
  <c r="K133" i="1"/>
  <c r="AC133" i="1"/>
  <c r="AE133" i="1" s="1"/>
  <c r="K165" i="1"/>
  <c r="K181" i="1"/>
  <c r="K197" i="1"/>
  <c r="K246" i="1"/>
  <c r="K294" i="1"/>
  <c r="AC294" i="1"/>
  <c r="AE294" i="1" s="1"/>
  <c r="K358" i="1"/>
  <c r="K409" i="1"/>
  <c r="K190" i="1"/>
  <c r="K206" i="1"/>
  <c r="K222" i="1"/>
  <c r="K271" i="1"/>
  <c r="AC271" i="1"/>
  <c r="AE271" i="1" s="1"/>
  <c r="K287" i="1"/>
  <c r="K303" i="1"/>
  <c r="K319" i="1"/>
  <c r="K335" i="1"/>
  <c r="AC335" i="1"/>
  <c r="AE335" i="1" s="1"/>
  <c r="K351" i="1"/>
  <c r="Q96" i="1"/>
  <c r="S96" i="1"/>
  <c r="N238" i="1"/>
  <c r="N302" i="1"/>
  <c r="N366" i="1"/>
  <c r="N241" i="1"/>
  <c r="N394" i="1"/>
  <c r="N94" i="1"/>
  <c r="N157" i="1"/>
  <c r="N221" i="1"/>
  <c r="N182" i="1"/>
  <c r="N246" i="1"/>
  <c r="N310" i="1"/>
  <c r="N80" i="1"/>
  <c r="N143" i="1"/>
  <c r="N207" i="1"/>
  <c r="N335" i="1"/>
  <c r="N198" i="1"/>
  <c r="N54" i="1"/>
  <c r="N117" i="1"/>
  <c r="N181" i="1"/>
  <c r="N153" i="1"/>
  <c r="N371" i="1"/>
  <c r="N70" i="1"/>
  <c r="N133" i="1"/>
  <c r="N197" i="1"/>
  <c r="N261" i="1"/>
  <c r="N286" i="1"/>
  <c r="N350" i="1"/>
  <c r="N56" i="1"/>
  <c r="N119" i="1"/>
  <c r="N183" i="1"/>
  <c r="N247" i="1"/>
  <c r="N311" i="1"/>
  <c r="N375" i="1"/>
  <c r="N280" i="1"/>
  <c r="N344" i="1"/>
  <c r="N98" i="1"/>
  <c r="N161" i="1"/>
  <c r="N225" i="1"/>
  <c r="N289" i="1"/>
  <c r="N353" i="1"/>
  <c r="N354" i="1"/>
  <c r="N379" i="1"/>
  <c r="N269" i="1"/>
  <c r="N333" i="1"/>
  <c r="N397" i="1"/>
  <c r="N332" i="1"/>
  <c r="N102" i="1"/>
  <c r="N166" i="1"/>
  <c r="N230" i="1"/>
  <c r="N294" i="1"/>
  <c r="N358" i="1"/>
  <c r="N255" i="1"/>
  <c r="N319" i="1"/>
  <c r="N383" i="1"/>
  <c r="N97" i="1"/>
  <c r="N160" i="1"/>
  <c r="N224" i="1"/>
  <c r="N288" i="1"/>
  <c r="N352" i="1"/>
  <c r="N327" i="1"/>
  <c r="N232" i="1"/>
  <c r="Q353" i="1" l="1"/>
  <c r="AC146" i="1"/>
  <c r="AE146" i="1" s="1"/>
  <c r="Q132" i="1"/>
  <c r="R314" i="1"/>
  <c r="R354" i="1"/>
  <c r="AC266" i="1"/>
  <c r="AE266" i="1" s="1"/>
  <c r="AG266" i="1" s="1"/>
  <c r="AB266" i="1" s="1"/>
  <c r="Q133" i="1"/>
  <c r="Q273" i="1"/>
  <c r="Q146" i="1"/>
  <c r="AC353" i="1"/>
  <c r="AE353" i="1" s="1"/>
  <c r="AG353" i="1" s="1"/>
  <c r="AB353" i="1" s="1"/>
  <c r="Q348" i="1"/>
  <c r="Q264" i="1"/>
  <c r="Q407" i="1"/>
  <c r="Q195" i="1"/>
  <c r="Q266" i="1"/>
  <c r="AC410" i="1"/>
  <c r="AE410" i="1" s="1"/>
  <c r="R267" i="1"/>
  <c r="Q203" i="1"/>
  <c r="Q122" i="1"/>
  <c r="Q268" i="1"/>
  <c r="R268" i="1"/>
  <c r="Q283" i="1"/>
  <c r="Q342" i="1"/>
  <c r="Q244" i="1"/>
  <c r="Q281" i="1"/>
  <c r="Q410" i="1"/>
  <c r="AC267" i="1"/>
  <c r="AE267" i="1" s="1"/>
  <c r="AG267" i="1" s="1"/>
  <c r="AB267" i="1" s="1"/>
  <c r="Q185" i="1"/>
  <c r="Q327" i="1"/>
  <c r="Q128" i="1"/>
  <c r="Q386" i="1"/>
  <c r="Q130" i="1"/>
  <c r="Q405" i="1"/>
  <c r="AC270" i="1"/>
  <c r="AE270" i="1" s="1"/>
  <c r="AG270" i="1" s="1"/>
  <c r="AB270" i="1" s="1"/>
  <c r="AC386" i="1"/>
  <c r="AE386" i="1" s="1"/>
  <c r="Q317" i="1"/>
  <c r="Q284" i="1"/>
  <c r="Q270" i="1"/>
  <c r="Q373" i="1"/>
  <c r="Q340" i="1"/>
  <c r="Q311" i="1"/>
  <c r="AG274" i="1"/>
  <c r="AB274" i="1" s="1"/>
  <c r="AG268" i="1"/>
  <c r="AB268" i="1" s="1"/>
  <c r="AG272" i="1"/>
  <c r="AB272" i="1" s="1"/>
  <c r="AG269" i="1"/>
  <c r="AB269" i="1" s="1"/>
  <c r="AG271" i="1"/>
  <c r="AB271" i="1" s="1"/>
  <c r="AG273" i="1"/>
  <c r="AB273" i="1" s="1"/>
  <c r="AG262" i="1"/>
  <c r="AB262" i="1" s="1"/>
  <c r="AG263" i="1"/>
  <c r="AB263" i="1" s="1"/>
  <c r="AG196" i="1"/>
  <c r="AB196" i="1" s="1"/>
  <c r="Q360" i="1"/>
  <c r="Q322" i="1"/>
  <c r="Q241" i="1"/>
  <c r="R369" i="1"/>
  <c r="Q369" i="1"/>
  <c r="Q258" i="1"/>
  <c r="Q243" i="1"/>
  <c r="Q198" i="1"/>
  <c r="AC258" i="1"/>
  <c r="AE258" i="1" s="1"/>
  <c r="Q131" i="1"/>
  <c r="Q219" i="1"/>
  <c r="Q262" i="1"/>
  <c r="Q272" i="1"/>
  <c r="Q240" i="1"/>
  <c r="Q350" i="1"/>
  <c r="Q235" i="1"/>
  <c r="AG151" i="1"/>
  <c r="AB151" i="1" s="1"/>
  <c r="AG254" i="1"/>
  <c r="AB254" i="1" s="1"/>
  <c r="AG394" i="1"/>
  <c r="AB394" i="1" s="1"/>
  <c r="AG336" i="1"/>
  <c r="AB336" i="1" s="1"/>
  <c r="AG106" i="1"/>
  <c r="AB106" i="1" s="1"/>
  <c r="AG164" i="1"/>
  <c r="AB164" i="1" s="1"/>
  <c r="AG399" i="1"/>
  <c r="AB399" i="1" s="1"/>
  <c r="AG112" i="1"/>
  <c r="AB112" i="1" s="1"/>
  <c r="AG258" i="1" l="1"/>
  <c r="AB258" i="1" s="1"/>
  <c r="H7" i="1" l="1"/>
  <c r="H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I515" i="83"/>
  <c r="J515" i="83"/>
  <c r="J559" i="83"/>
  <c r="K559" i="83" s="1"/>
  <c r="L9" i="83"/>
  <c r="L546" i="83"/>
  <c r="M546" i="83" s="1"/>
  <c r="K546" i="83"/>
  <c r="L28" i="83"/>
  <c r="M28" i="83" s="1"/>
  <c r="L41" i="83"/>
  <c r="L45" i="83"/>
  <c r="M45" i="83" s="1"/>
  <c r="K45" i="83"/>
  <c r="L46" i="83"/>
  <c r="M46" i="83" s="1"/>
  <c r="K46" i="83"/>
  <c r="L71" i="83"/>
  <c r="L79" i="83"/>
  <c r="M79" i="83" s="1"/>
  <c r="K79" i="83"/>
  <c r="L82" i="83"/>
  <c r="L95" i="83"/>
  <c r="M95" i="83" s="1"/>
  <c r="K95" i="83"/>
  <c r="L100" i="83"/>
  <c r="M100" i="83" s="1"/>
  <c r="L109" i="83"/>
  <c r="K109" i="83"/>
  <c r="L110" i="83"/>
  <c r="L115" i="83"/>
  <c r="M115" i="83" s="1"/>
  <c r="K115" i="83"/>
  <c r="L118" i="83"/>
  <c r="M118" i="83" s="1"/>
  <c r="K118" i="83"/>
  <c r="L158" i="83"/>
  <c r="M158" i="83" s="1"/>
  <c r="L161" i="83"/>
  <c r="L162" i="83"/>
  <c r="L166" i="83"/>
  <c r="L169" i="83"/>
  <c r="M169" i="83" s="1"/>
  <c r="L176" i="83"/>
  <c r="L194" i="83"/>
  <c r="L239" i="83"/>
  <c r="L271" i="83"/>
  <c r="M271" i="83" s="1"/>
  <c r="L290" i="83"/>
  <c r="K290" i="83"/>
  <c r="L306" i="83"/>
  <c r="K306" i="83"/>
  <c r="L311" i="83"/>
  <c r="M311" i="83" s="1"/>
  <c r="K141" i="83"/>
  <c r="L348" i="83"/>
  <c r="L379" i="83"/>
  <c r="M379" i="83" s="1"/>
  <c r="L382" i="83"/>
  <c r="L384" i="83"/>
  <c r="L398" i="83"/>
  <c r="K398" i="83"/>
  <c r="L408" i="83"/>
  <c r="M408" i="83" s="1"/>
  <c r="K408" i="83"/>
  <c r="L289" i="83"/>
  <c r="L441" i="83"/>
  <c r="M441" i="83" s="1"/>
  <c r="K441" i="83"/>
  <c r="L471" i="83"/>
  <c r="L514" i="83"/>
  <c r="K514" i="83"/>
  <c r="L354" i="83"/>
  <c r="M354" i="83" s="1"/>
  <c r="K354" i="83"/>
  <c r="L524" i="83"/>
  <c r="K524" i="83"/>
  <c r="L533" i="83"/>
  <c r="K533" i="83"/>
  <c r="L536" i="83"/>
  <c r="K536" i="83"/>
  <c r="L299" i="83"/>
  <c r="L552" i="83"/>
  <c r="L225" i="83"/>
  <c r="M225" i="83" s="1"/>
  <c r="L564" i="83"/>
  <c r="M564" i="83" s="1"/>
  <c r="K564" i="83"/>
  <c r="K3" i="83"/>
  <c r="K4" i="83"/>
  <c r="K5" i="83"/>
  <c r="K6" i="83"/>
  <c r="K7" i="83"/>
  <c r="K9" i="83"/>
  <c r="K10" i="83"/>
  <c r="K11" i="83"/>
  <c r="K12" i="83"/>
  <c r="K13" i="83"/>
  <c r="K14" i="83"/>
  <c r="K15" i="83"/>
  <c r="K16" i="83"/>
  <c r="K17" i="83"/>
  <c r="K18" i="83"/>
  <c r="K19" i="83"/>
  <c r="K20" i="83"/>
  <c r="K21" i="83"/>
  <c r="K22" i="83"/>
  <c r="K23" i="83"/>
  <c r="K25" i="83"/>
  <c r="K26" i="83"/>
  <c r="K27" i="83"/>
  <c r="K28" i="83"/>
  <c r="K29" i="83"/>
  <c r="K30" i="83"/>
  <c r="K31" i="83"/>
  <c r="K32" i="83"/>
  <c r="K33" i="83"/>
  <c r="K34" i="83"/>
  <c r="K35" i="83"/>
  <c r="K36" i="83"/>
  <c r="K37" i="83"/>
  <c r="K38" i="83"/>
  <c r="K39" i="83"/>
  <c r="K40" i="83"/>
  <c r="K41" i="83"/>
  <c r="K42" i="83"/>
  <c r="K43" i="83"/>
  <c r="K44" i="83"/>
  <c r="K47" i="83"/>
  <c r="K48" i="83"/>
  <c r="K49" i="83"/>
  <c r="K50" i="83"/>
  <c r="K51" i="83"/>
  <c r="K52" i="83"/>
  <c r="K53" i="83"/>
  <c r="K54" i="83"/>
  <c r="K55" i="83"/>
  <c r="K56" i="83"/>
  <c r="K57" i="83"/>
  <c r="K58" i="83"/>
  <c r="K59" i="83"/>
  <c r="K60" i="83"/>
  <c r="K61" i="83"/>
  <c r="K62" i="83"/>
  <c r="K63" i="83"/>
  <c r="K64" i="83"/>
  <c r="K65" i="83"/>
  <c r="K66" i="83"/>
  <c r="K67" i="83"/>
  <c r="K68" i="83"/>
  <c r="K69" i="83"/>
  <c r="K70" i="83"/>
  <c r="K71" i="83"/>
  <c r="K72" i="83"/>
  <c r="K73" i="83"/>
  <c r="K74" i="83"/>
  <c r="K75" i="83"/>
  <c r="K76" i="83"/>
  <c r="K77" i="83"/>
  <c r="K78" i="83"/>
  <c r="K80" i="83"/>
  <c r="K81" i="83"/>
  <c r="K82" i="83"/>
  <c r="K83" i="83"/>
  <c r="K84" i="83"/>
  <c r="K85" i="83"/>
  <c r="K86" i="83"/>
  <c r="K87" i="83"/>
  <c r="K88" i="83"/>
  <c r="K89" i="83"/>
  <c r="K90" i="83"/>
  <c r="K91" i="83"/>
  <c r="K92" i="83"/>
  <c r="K93" i="83"/>
  <c r="K94" i="83"/>
  <c r="K96" i="83"/>
  <c r="K97" i="83"/>
  <c r="K98" i="83"/>
  <c r="K99" i="83"/>
  <c r="K100" i="83"/>
  <c r="K101" i="83"/>
  <c r="K102" i="83"/>
  <c r="K103" i="83"/>
  <c r="K104" i="83"/>
  <c r="K105" i="83"/>
  <c r="K106" i="83"/>
  <c r="K107" i="83"/>
  <c r="K108" i="83"/>
  <c r="K110" i="83"/>
  <c r="K111" i="83"/>
  <c r="K112" i="83"/>
  <c r="K113" i="83"/>
  <c r="K114" i="83"/>
  <c r="K116" i="83"/>
  <c r="K117" i="83"/>
  <c r="K119" i="83"/>
  <c r="K120" i="83"/>
  <c r="K121" i="83"/>
  <c r="K122" i="83"/>
  <c r="K123" i="83"/>
  <c r="K124" i="83"/>
  <c r="K125" i="83"/>
  <c r="K126" i="83"/>
  <c r="K127" i="83"/>
  <c r="K128" i="83"/>
  <c r="K129" i="83"/>
  <c r="K130" i="83"/>
  <c r="K131" i="83"/>
  <c r="K132" i="83"/>
  <c r="K133" i="83"/>
  <c r="K134" i="83"/>
  <c r="K135" i="83"/>
  <c r="K136" i="83"/>
  <c r="K137" i="83"/>
  <c r="K435" i="83"/>
  <c r="K139" i="83"/>
  <c r="K140" i="83"/>
  <c r="K468" i="83"/>
  <c r="K142" i="83"/>
  <c r="K143" i="83"/>
  <c r="K144" i="83"/>
  <c r="K145" i="83"/>
  <c r="K146" i="83"/>
  <c r="K147" i="83"/>
  <c r="K148" i="83"/>
  <c r="K149" i="83"/>
  <c r="K150" i="83"/>
  <c r="K151" i="83"/>
  <c r="K152" i="83"/>
  <c r="K153" i="83"/>
  <c r="K154" i="83"/>
  <c r="K155" i="83"/>
  <c r="K156" i="83"/>
  <c r="K157" i="83"/>
  <c r="K158" i="83"/>
  <c r="K159" i="83"/>
  <c r="K160" i="83"/>
  <c r="K161" i="83"/>
  <c r="K162" i="83"/>
  <c r="K163" i="83"/>
  <c r="K164" i="83"/>
  <c r="K165" i="83"/>
  <c r="K166" i="83"/>
  <c r="K167" i="83"/>
  <c r="K168" i="83"/>
  <c r="K169" i="83"/>
  <c r="K170" i="83"/>
  <c r="K171" i="83"/>
  <c r="K172" i="83"/>
  <c r="K173" i="83"/>
  <c r="K174" i="83"/>
  <c r="K175" i="83"/>
  <c r="K176" i="83"/>
  <c r="K177" i="83"/>
  <c r="K178" i="83"/>
  <c r="K179" i="83"/>
  <c r="K180" i="83"/>
  <c r="K181" i="83"/>
  <c r="K182" i="83"/>
  <c r="K183" i="83"/>
  <c r="K184" i="83"/>
  <c r="K185" i="83"/>
  <c r="K186" i="83"/>
  <c r="K187" i="83"/>
  <c r="K188" i="83"/>
  <c r="K189" i="83"/>
  <c r="K190" i="83"/>
  <c r="K191" i="83"/>
  <c r="K192" i="83"/>
  <c r="K193" i="83"/>
  <c r="K194" i="83"/>
  <c r="K195" i="83"/>
  <c r="K196" i="83"/>
  <c r="K197" i="83"/>
  <c r="K198" i="83"/>
  <c r="K199" i="83"/>
  <c r="K200" i="83"/>
  <c r="K201" i="83"/>
  <c r="K202" i="83"/>
  <c r="K203" i="83"/>
  <c r="K204" i="83"/>
  <c r="K205" i="83"/>
  <c r="K206" i="83"/>
  <c r="K207" i="83"/>
  <c r="K208" i="83"/>
  <c r="K209" i="83"/>
  <c r="K210" i="83"/>
  <c r="K211" i="83"/>
  <c r="K212" i="83"/>
  <c r="K213" i="83"/>
  <c r="K214" i="83"/>
  <c r="K215" i="83"/>
  <c r="K216" i="83"/>
  <c r="K217" i="83"/>
  <c r="K218" i="83"/>
  <c r="K219" i="83"/>
  <c r="K220" i="83"/>
  <c r="K221" i="83"/>
  <c r="K222" i="83"/>
  <c r="K223" i="83"/>
  <c r="K224" i="83"/>
  <c r="K319" i="83"/>
  <c r="K226" i="83"/>
  <c r="K227" i="83"/>
  <c r="K228" i="83"/>
  <c r="K229" i="83"/>
  <c r="K230" i="83"/>
  <c r="K231" i="83"/>
  <c r="K232" i="83"/>
  <c r="K233" i="83"/>
  <c r="K234" i="83"/>
  <c r="K235" i="83"/>
  <c r="K236" i="83"/>
  <c r="K237" i="83"/>
  <c r="K238" i="83"/>
  <c r="K239" i="83"/>
  <c r="K240" i="83"/>
  <c r="K241" i="83"/>
  <c r="K242" i="83"/>
  <c r="K243" i="83"/>
  <c r="K244" i="83"/>
  <c r="K245" i="83"/>
  <c r="K246" i="83"/>
  <c r="K247" i="83"/>
  <c r="K248" i="83"/>
  <c r="K249" i="83"/>
  <c r="K250" i="83"/>
  <c r="K251" i="83"/>
  <c r="K252" i="83"/>
  <c r="K253" i="83"/>
  <c r="K254" i="83"/>
  <c r="K255" i="83"/>
  <c r="K256" i="83"/>
  <c r="K257" i="83"/>
  <c r="K258" i="83"/>
  <c r="K259" i="83"/>
  <c r="K260" i="83"/>
  <c r="K261" i="83"/>
  <c r="K262" i="83"/>
  <c r="K263" i="83"/>
  <c r="K560" i="83"/>
  <c r="K265" i="83"/>
  <c r="K266" i="83"/>
  <c r="K267" i="83"/>
  <c r="K268" i="83"/>
  <c r="K269" i="83"/>
  <c r="K270" i="83"/>
  <c r="K271" i="83"/>
  <c r="K272" i="83"/>
  <c r="K273" i="83"/>
  <c r="K274" i="83"/>
  <c r="K275" i="83"/>
  <c r="K276" i="83"/>
  <c r="K277" i="83"/>
  <c r="K278" i="83"/>
  <c r="K279" i="83"/>
  <c r="K280" i="83"/>
  <c r="K281" i="83"/>
  <c r="K282" i="83"/>
  <c r="K283" i="83"/>
  <c r="K284" i="83"/>
  <c r="K285" i="83"/>
  <c r="K286" i="83"/>
  <c r="K287" i="83"/>
  <c r="K288" i="83"/>
  <c r="K24" i="83"/>
  <c r="K291" i="83"/>
  <c r="K292" i="83"/>
  <c r="K293" i="83"/>
  <c r="K294" i="83"/>
  <c r="K296" i="83"/>
  <c r="K297" i="83"/>
  <c r="K298" i="83"/>
  <c r="K300" i="83"/>
  <c r="K301" i="83"/>
  <c r="K302" i="83"/>
  <c r="K303" i="83"/>
  <c r="K304" i="83"/>
  <c r="K305" i="83"/>
  <c r="K307" i="83"/>
  <c r="K308" i="83"/>
  <c r="K309" i="83"/>
  <c r="K310" i="83"/>
  <c r="K311" i="83"/>
  <c r="K312" i="83"/>
  <c r="K313" i="83"/>
  <c r="K314" i="83"/>
  <c r="K315" i="83"/>
  <c r="K316" i="83"/>
  <c r="K317" i="83"/>
  <c r="K318" i="83"/>
  <c r="K320" i="83"/>
  <c r="K321" i="83"/>
  <c r="K322" i="83"/>
  <c r="K323" i="83"/>
  <c r="K324" i="83"/>
  <c r="K325" i="83"/>
  <c r="K326" i="83"/>
  <c r="K327" i="83"/>
  <c r="K328" i="83"/>
  <c r="K329" i="83"/>
  <c r="K330" i="83"/>
  <c r="K331" i="83"/>
  <c r="K332" i="83"/>
  <c r="K333" i="83"/>
  <c r="K334" i="83"/>
  <c r="K335" i="83"/>
  <c r="K336" i="83"/>
  <c r="K337" i="83"/>
  <c r="K338" i="83"/>
  <c r="K339" i="83"/>
  <c r="K340" i="83"/>
  <c r="K341" i="83"/>
  <c r="K342" i="83"/>
  <c r="K343" i="83"/>
  <c r="K344" i="83"/>
  <c r="K345" i="83"/>
  <c r="K346" i="83"/>
  <c r="K347" i="83"/>
  <c r="K348" i="83"/>
  <c r="K349" i="83"/>
  <c r="K350" i="83"/>
  <c r="K351" i="83"/>
  <c r="K352" i="83"/>
  <c r="K353" i="83"/>
  <c r="K138" i="83"/>
  <c r="K355" i="83"/>
  <c r="K356" i="83"/>
  <c r="K357" i="83"/>
  <c r="K358" i="83"/>
  <c r="K359" i="83"/>
  <c r="K360" i="83"/>
  <c r="K361" i="83"/>
  <c r="K362" i="83"/>
  <c r="K363" i="83"/>
  <c r="K364" i="83"/>
  <c r="K365" i="83"/>
  <c r="K366" i="83"/>
  <c r="K367" i="83"/>
  <c r="K368" i="83"/>
  <c r="K369" i="83"/>
  <c r="K370" i="83"/>
  <c r="K371" i="83"/>
  <c r="K372" i="83"/>
  <c r="K373" i="83"/>
  <c r="K374" i="83"/>
  <c r="K295" i="83"/>
  <c r="K375" i="83"/>
  <c r="K376" i="83"/>
  <c r="K377" i="83"/>
  <c r="K378" i="83"/>
  <c r="K379" i="83"/>
  <c r="K380" i="83"/>
  <c r="K381" i="83"/>
  <c r="K382" i="83"/>
  <c r="K383" i="83"/>
  <c r="K384" i="83"/>
  <c r="K385" i="83"/>
  <c r="K386" i="83"/>
  <c r="K387" i="83"/>
  <c r="K388" i="83"/>
  <c r="K389" i="83"/>
  <c r="K390" i="83"/>
  <c r="K391" i="83"/>
  <c r="K392" i="83"/>
  <c r="K393" i="83"/>
  <c r="K394" i="83"/>
  <c r="K395" i="83"/>
  <c r="K396" i="83"/>
  <c r="K397" i="83"/>
  <c r="K399" i="83"/>
  <c r="K400" i="83"/>
  <c r="K401" i="83"/>
  <c r="K402" i="83"/>
  <c r="K403" i="83"/>
  <c r="K404" i="83"/>
  <c r="K405" i="83"/>
  <c r="K406" i="83"/>
  <c r="K407" i="83"/>
  <c r="K409" i="83"/>
  <c r="K410" i="83"/>
  <c r="K411" i="83"/>
  <c r="K412" i="83"/>
  <c r="K413" i="83"/>
  <c r="K414" i="83"/>
  <c r="K415" i="83"/>
  <c r="K416" i="83"/>
  <c r="K417" i="83"/>
  <c r="K418" i="83"/>
  <c r="K419" i="83"/>
  <c r="K420" i="83"/>
  <c r="K421" i="83"/>
  <c r="K422" i="83"/>
  <c r="K423" i="83"/>
  <c r="K424" i="83"/>
  <c r="K425" i="83"/>
  <c r="K426" i="83"/>
  <c r="K427" i="83"/>
  <c r="K428" i="83"/>
  <c r="K429" i="83"/>
  <c r="K430" i="83"/>
  <c r="K431" i="83"/>
  <c r="K432" i="83"/>
  <c r="K433" i="83"/>
  <c r="K434" i="83"/>
  <c r="K289" i="83"/>
  <c r="K436" i="83"/>
  <c r="K437" i="83"/>
  <c r="K438" i="83"/>
  <c r="K439" i="83"/>
  <c r="K440" i="83"/>
  <c r="K442" i="83"/>
  <c r="K443" i="83"/>
  <c r="K444" i="83"/>
  <c r="K445" i="83"/>
  <c r="K446" i="83"/>
  <c r="K447" i="83"/>
  <c r="K448" i="83"/>
  <c r="K449" i="83"/>
  <c r="K450" i="83"/>
  <c r="K451" i="83"/>
  <c r="K452" i="83"/>
  <c r="K453" i="83"/>
  <c r="K454" i="83"/>
  <c r="K455" i="83"/>
  <c r="K456" i="83"/>
  <c r="K457" i="83"/>
  <c r="K458" i="83"/>
  <c r="K459" i="83"/>
  <c r="K460" i="83"/>
  <c r="K461" i="83"/>
  <c r="K462" i="83"/>
  <c r="K463" i="83"/>
  <c r="K464" i="83"/>
  <c r="K465" i="83"/>
  <c r="K466" i="83"/>
  <c r="K467" i="83"/>
  <c r="K8" i="83"/>
  <c r="K469" i="83"/>
  <c r="K470" i="83"/>
  <c r="K471" i="83"/>
  <c r="K472" i="83"/>
  <c r="K473" i="83"/>
  <c r="K474" i="83"/>
  <c r="K475" i="83"/>
  <c r="K476" i="83"/>
  <c r="K477" i="83"/>
  <c r="K478" i="83"/>
  <c r="K479" i="83"/>
  <c r="K480" i="83"/>
  <c r="K481" i="83"/>
  <c r="K482" i="83"/>
  <c r="K483" i="83"/>
  <c r="K484" i="83"/>
  <c r="K485" i="83"/>
  <c r="K486" i="83"/>
  <c r="K487" i="83"/>
  <c r="K488" i="83"/>
  <c r="K489" i="83"/>
  <c r="K490" i="83"/>
  <c r="K491" i="83"/>
  <c r="K492" i="83"/>
  <c r="K493" i="83"/>
  <c r="K494" i="83"/>
  <c r="K495" i="83"/>
  <c r="K496" i="83"/>
  <c r="K497" i="83"/>
  <c r="K498" i="83"/>
  <c r="K499" i="83"/>
  <c r="K500" i="83"/>
  <c r="K501" i="83"/>
  <c r="K502" i="83"/>
  <c r="K503" i="83"/>
  <c r="K504" i="83"/>
  <c r="K505" i="83"/>
  <c r="K506" i="83"/>
  <c r="K507" i="83"/>
  <c r="K508" i="83"/>
  <c r="K509" i="83"/>
  <c r="K510" i="83"/>
  <c r="K511" i="83"/>
  <c r="K512" i="83"/>
  <c r="K513" i="83"/>
  <c r="K516" i="83"/>
  <c r="K517" i="83"/>
  <c r="K518" i="83"/>
  <c r="K519" i="83"/>
  <c r="K520" i="83"/>
  <c r="K521" i="83"/>
  <c r="K522" i="83"/>
  <c r="K523" i="83"/>
  <c r="K525" i="83"/>
  <c r="K526" i="83"/>
  <c r="K527" i="83"/>
  <c r="K528" i="83"/>
  <c r="K529" i="83"/>
  <c r="K530" i="83"/>
  <c r="K531" i="83"/>
  <c r="K532" i="83"/>
  <c r="K534" i="83"/>
  <c r="K535" i="83"/>
  <c r="K537" i="83"/>
  <c r="K538" i="83"/>
  <c r="K539" i="83"/>
  <c r="K540" i="83"/>
  <c r="K541" i="83"/>
  <c r="K542" i="83"/>
  <c r="K543" i="83"/>
  <c r="K544" i="83"/>
  <c r="K545" i="83"/>
  <c r="K299" i="83"/>
  <c r="K547" i="83"/>
  <c r="K548" i="83"/>
  <c r="K549" i="83"/>
  <c r="K550" i="83"/>
  <c r="K551" i="83"/>
  <c r="K552" i="83"/>
  <c r="K553" i="83"/>
  <c r="K554" i="83"/>
  <c r="K555" i="83"/>
  <c r="K556" i="83"/>
  <c r="K557" i="83"/>
  <c r="K558" i="83"/>
  <c r="K225" i="83"/>
  <c r="K264" i="83"/>
  <c r="K561" i="83"/>
  <c r="K562" i="83"/>
  <c r="K563" i="83"/>
  <c r="K565" i="83"/>
  <c r="K566" i="83"/>
  <c r="K567" i="83"/>
  <c r="K568" i="83"/>
  <c r="K569" i="83"/>
  <c r="K570" i="83"/>
  <c r="K571" i="83"/>
  <c r="K572" i="83"/>
  <c r="K573" i="83"/>
  <c r="K574" i="83"/>
  <c r="K575" i="83"/>
  <c r="K576" i="83"/>
  <c r="K577" i="83"/>
  <c r="K578" i="83"/>
  <c r="K579" i="83"/>
  <c r="K580" i="83"/>
  <c r="K581" i="83"/>
  <c r="K582" i="83"/>
  <c r="K583" i="83"/>
  <c r="K2" i="83"/>
  <c r="K584" i="83"/>
  <c r="L336" i="83"/>
  <c r="M336" i="83" s="1"/>
  <c r="L576" i="83"/>
  <c r="M576" i="83" s="1"/>
  <c r="L145" i="83"/>
  <c r="M145" i="83" s="1"/>
  <c r="L469" i="83"/>
  <c r="M469" i="83" s="1"/>
  <c r="L15" i="83"/>
  <c r="M15" i="83" s="1"/>
  <c r="L550" i="83"/>
  <c r="M550" i="83" s="1"/>
  <c r="L186" i="83"/>
  <c r="L180" i="83"/>
  <c r="M180" i="83" s="1"/>
  <c r="L252" i="83"/>
  <c r="M252" i="83" s="1"/>
  <c r="L578" i="83"/>
  <c r="L338" i="83"/>
  <c r="L131" i="83"/>
  <c r="M131" i="83" s="1"/>
  <c r="L462" i="83"/>
  <c r="M462" i="83" s="1"/>
  <c r="L129" i="83"/>
  <c r="L439" i="83"/>
  <c r="L409" i="83"/>
  <c r="M409" i="83" s="1"/>
  <c r="L26" i="83"/>
  <c r="M26" i="83" s="1"/>
  <c r="L122" i="83"/>
  <c r="L254" i="83"/>
  <c r="L196" i="83"/>
  <c r="M196" i="83" s="1"/>
  <c r="L208" i="83"/>
  <c r="M208" i="83" s="1"/>
  <c r="L475" i="83"/>
  <c r="L248" i="83"/>
  <c r="L393" i="83"/>
  <c r="L60" i="83"/>
  <c r="M60" i="83" s="1"/>
  <c r="L435" i="83"/>
  <c r="L160" i="83"/>
  <c r="M160" i="83" s="1"/>
  <c r="L126" i="83"/>
  <c r="L287" i="83"/>
  <c r="M287" i="83" s="1"/>
  <c r="L388" i="83"/>
  <c r="L383" i="83"/>
  <c r="M383" i="83" s="1"/>
  <c r="L235" i="83"/>
  <c r="M235" i="83" s="1"/>
  <c r="L575" i="83"/>
  <c r="M575" i="83" s="1"/>
  <c r="L276" i="83"/>
  <c r="M276" i="83" s="1"/>
  <c r="L150" i="83"/>
  <c r="L532" i="83"/>
  <c r="M532" i="83" s="1"/>
  <c r="L275" i="83"/>
  <c r="M275" i="83" s="1"/>
  <c r="L543" i="83"/>
  <c r="M543" i="83" s="1"/>
  <c r="L326" i="83"/>
  <c r="L156" i="83"/>
  <c r="M156" i="83" s="1"/>
  <c r="L92" i="83"/>
  <c r="M92" i="83" s="1"/>
  <c r="L516" i="83"/>
  <c r="M516" i="83" s="1"/>
  <c r="L97" i="83"/>
  <c r="M97" i="83" s="1"/>
  <c r="L11" i="83"/>
  <c r="M11" i="83" s="1"/>
  <c r="L62" i="83"/>
  <c r="M62" i="83" s="1"/>
  <c r="L10" i="83"/>
  <c r="L556" i="83"/>
  <c r="L297" i="83"/>
  <c r="M297" i="83" s="1"/>
  <c r="L345" i="83"/>
  <c r="M345" i="83" s="1"/>
  <c r="L73" i="83"/>
  <c r="L57" i="83"/>
  <c r="L274" i="83"/>
  <c r="L437" i="83"/>
  <c r="M437" i="83" s="1"/>
  <c r="L538" i="83"/>
  <c r="L128" i="83"/>
  <c r="L424" i="83"/>
  <c r="M424" i="83" s="1"/>
  <c r="L207" i="83"/>
  <c r="M207" i="83" s="1"/>
  <c r="L99" i="83"/>
  <c r="L38" i="83"/>
  <c r="M38" i="83" s="1"/>
  <c r="L350" i="83"/>
  <c r="L19" i="83"/>
  <c r="M19" i="83" s="1"/>
  <c r="L48" i="83"/>
  <c r="L329" i="83"/>
  <c r="L237" i="83"/>
  <c r="M237" i="83" s="1"/>
  <c r="L25" i="83"/>
  <c r="M25" i="83" s="1"/>
  <c r="L98" i="83"/>
  <c r="M98" i="83" s="1"/>
  <c r="L184" i="83"/>
  <c r="M184" i="83" s="1"/>
  <c r="L81" i="83"/>
  <c r="M81" i="83" s="1"/>
  <c r="L250" i="83"/>
  <c r="M250" i="83" s="1"/>
  <c r="L142" i="83"/>
  <c r="L362" i="83"/>
  <c r="L137" i="83"/>
  <c r="M137" i="83" s="1"/>
  <c r="L172" i="83"/>
  <c r="M172" i="83" s="1"/>
  <c r="L474" i="83"/>
  <c r="M474" i="83" s="1"/>
  <c r="L155" i="83"/>
  <c r="M155" i="83" s="1"/>
  <c r="L63" i="83"/>
  <c r="M63" i="83" s="1"/>
  <c r="L330" i="83"/>
  <c r="M330" i="83" s="1"/>
  <c r="L259" i="83"/>
  <c r="M259" i="83" s="1"/>
  <c r="L534" i="83"/>
  <c r="M534" i="83" s="1"/>
  <c r="L182" i="83"/>
  <c r="L240" i="83"/>
  <c r="M240" i="83" s="1"/>
  <c r="L114" i="83"/>
  <c r="M114" i="83" s="1"/>
  <c r="L67" i="83"/>
  <c r="M67" i="83" s="1"/>
  <c r="L50" i="83"/>
  <c r="M50" i="83" s="1"/>
  <c r="L16" i="83"/>
  <c r="M16" i="83" s="1"/>
  <c r="L23" i="83"/>
  <c r="L149" i="83"/>
  <c r="L566" i="83"/>
  <c r="L386" i="83"/>
  <c r="M386" i="83" s="1"/>
  <c r="L526" i="83"/>
  <c r="M526" i="83" s="1"/>
  <c r="L490" i="83"/>
  <c r="M490" i="83" s="1"/>
  <c r="L337" i="83"/>
  <c r="M337" i="83" s="1"/>
  <c r="L472" i="83"/>
  <c r="M472" i="83" s="1"/>
  <c r="L528" i="83"/>
  <c r="L502" i="83"/>
  <c r="L49" i="83"/>
  <c r="L116" i="83"/>
  <c r="M116" i="83" s="1"/>
  <c r="L17" i="83"/>
  <c r="M17" i="83" s="1"/>
  <c r="L215" i="83"/>
  <c r="M215" i="83" s="1"/>
  <c r="L562" i="83"/>
  <c r="M562" i="83" s="1"/>
  <c r="L531" i="83"/>
  <c r="M531" i="83" s="1"/>
  <c r="L91" i="83"/>
  <c r="L241" i="83"/>
  <c r="L491" i="83"/>
  <c r="M491" i="83" s="1"/>
  <c r="L143" i="83"/>
  <c r="M143" i="83" s="1"/>
  <c r="L477" i="83"/>
  <c r="M477" i="83" s="1"/>
  <c r="L164" i="83"/>
  <c r="M164" i="83" s="1"/>
  <c r="L74" i="83"/>
  <c r="M74" i="83" s="1"/>
  <c r="L146" i="83"/>
  <c r="M146" i="83" s="1"/>
  <c r="L205" i="83"/>
  <c r="L175" i="83"/>
  <c r="L190" i="83"/>
  <c r="L255" i="83"/>
  <c r="M255" i="83" s="1"/>
  <c r="L112" i="83"/>
  <c r="L332" i="83"/>
  <c r="M332" i="83" s="1"/>
  <c r="L395" i="83"/>
  <c r="M395" i="83" s="1"/>
  <c r="L134" i="83"/>
  <c r="M134" i="83" s="1"/>
  <c r="L573" i="83"/>
  <c r="L470" i="83"/>
  <c r="L185" i="83"/>
  <c r="M185" i="83" s="1"/>
  <c r="L204" i="83"/>
  <c r="M204" i="83" s="1"/>
  <c r="L555" i="83"/>
  <c r="M555" i="83" s="1"/>
  <c r="L232" i="83"/>
  <c r="M232" i="83" s="1"/>
  <c r="L136" i="83"/>
  <c r="M136" i="83" s="1"/>
  <c r="L85" i="83"/>
  <c r="M85" i="83" s="1"/>
  <c r="L293" i="83"/>
  <c r="M293" i="83" s="1"/>
  <c r="L120" i="83"/>
  <c r="L8" i="83"/>
  <c r="L14" i="83"/>
  <c r="M14" i="83" s="1"/>
  <c r="L574" i="83"/>
  <c r="L390" i="83"/>
  <c r="M390" i="83" s="1"/>
  <c r="L20" i="83"/>
  <c r="M20" i="83" s="1"/>
  <c r="L80" i="83"/>
  <c r="M80" i="83" s="1"/>
  <c r="L199" i="83"/>
  <c r="L151" i="83"/>
  <c r="L270" i="83"/>
  <c r="L212" i="83"/>
  <c r="M212" i="83" s="1"/>
  <c r="L65" i="83"/>
  <c r="L54" i="83"/>
  <c r="M54" i="83" s="1"/>
  <c r="L499" i="83"/>
  <c r="M499" i="83" s="1"/>
  <c r="L228" i="83"/>
  <c r="M228" i="83" s="1"/>
  <c r="L507" i="83"/>
  <c r="L193" i="83"/>
  <c r="L541" i="83"/>
  <c r="L106" i="83"/>
  <c r="M106" i="83" s="1"/>
  <c r="L266" i="83"/>
  <c r="K515" i="83"/>
  <c r="L509" i="83"/>
  <c r="M509" i="83" s="1"/>
  <c r="L195" i="83"/>
  <c r="M195" i="83" s="1"/>
  <c r="L64" i="83"/>
  <c r="L551" i="83"/>
  <c r="M551" i="83" s="1"/>
  <c r="K20" i="1"/>
  <c r="L505" i="83" s="1"/>
  <c r="M505" i="83" s="1"/>
  <c r="L78" i="83"/>
  <c r="M78" i="83" s="1"/>
  <c r="L69" i="83"/>
  <c r="L581" i="83"/>
  <c r="M581" i="83" s="1"/>
  <c r="L396" i="83"/>
  <c r="M396" i="83" s="1"/>
  <c r="L282" i="83"/>
  <c r="L39" i="83"/>
  <c r="L59" i="83"/>
  <c r="M59" i="83" s="1"/>
  <c r="L569" i="83"/>
  <c r="M569" i="83" s="1"/>
  <c r="L406" i="83"/>
  <c r="L463" i="83"/>
  <c r="L397" i="83"/>
  <c r="M397" i="83" s="1"/>
  <c r="L43" i="83"/>
  <c r="L495" i="83"/>
  <c r="L438" i="83"/>
  <c r="M438" i="83" s="1"/>
  <c r="L525" i="83"/>
  <c r="M525" i="83" s="1"/>
  <c r="L549" i="83"/>
  <c r="L47" i="83"/>
  <c r="M47" i="83" s="1"/>
  <c r="L487" i="83"/>
  <c r="M487" i="83" s="1"/>
  <c r="L399" i="83"/>
  <c r="M399" i="83" s="1"/>
  <c r="L13" i="83"/>
  <c r="M13" i="83" s="1"/>
  <c r="L117" i="83"/>
  <c r="L188" i="83"/>
  <c r="M188" i="83" s="1"/>
  <c r="K48" i="1"/>
  <c r="L2" i="83" s="1"/>
  <c r="M2" i="83" s="1"/>
  <c r="K12" i="1"/>
  <c r="L305" i="83"/>
  <c r="M305" i="83" s="1"/>
  <c r="K35" i="1"/>
  <c r="L34" i="83"/>
  <c r="M34" i="83" s="1"/>
  <c r="K45" i="1"/>
  <c r="L236" i="83" s="1"/>
  <c r="M236" i="83" s="1"/>
  <c r="L452" i="83"/>
  <c r="L535" i="83"/>
  <c r="M535" i="83" s="1"/>
  <c r="K44" i="1"/>
  <c r="L334" i="83" s="1"/>
  <c r="M334" i="83" s="1"/>
  <c r="L361" i="83"/>
  <c r="M361" i="83" s="1"/>
  <c r="L357" i="83"/>
  <c r="M357" i="83" s="1"/>
  <c r="L211" i="83"/>
  <c r="M211" i="83" s="1"/>
  <c r="L520" i="83"/>
  <c r="M520" i="83" s="1"/>
  <c r="L230" i="83"/>
  <c r="L482" i="83"/>
  <c r="M482" i="83" s="1"/>
  <c r="L391" i="83"/>
  <c r="M391" i="83" s="1"/>
  <c r="K28" i="1"/>
  <c r="L123" i="83" s="1"/>
  <c r="M123" i="83" s="1"/>
  <c r="L530" i="83"/>
  <c r="M530" i="83" s="1"/>
  <c r="L154" i="83"/>
  <c r="K26" i="1"/>
  <c r="L484" i="83" s="1"/>
  <c r="M484" i="83" s="1"/>
  <c r="E24" i="71" l="1"/>
  <c r="E32" i="71"/>
  <c r="E40" i="71"/>
  <c r="E48" i="71"/>
  <c r="E56" i="71"/>
  <c r="E25" i="71"/>
  <c r="E33" i="71"/>
  <c r="E41" i="71"/>
  <c r="E49" i="71"/>
  <c r="E57" i="71"/>
  <c r="E26" i="71"/>
  <c r="E34" i="71"/>
  <c r="E42" i="71"/>
  <c r="E50" i="71"/>
  <c r="E58" i="71"/>
  <c r="N8" i="139"/>
  <c r="E27" i="71"/>
  <c r="E35" i="71"/>
  <c r="E43" i="71"/>
  <c r="E51" i="71"/>
  <c r="E59" i="71"/>
  <c r="E28" i="71"/>
  <c r="E36" i="71"/>
  <c r="E44" i="71"/>
  <c r="E52" i="71"/>
  <c r="E60" i="71"/>
  <c r="E29" i="71"/>
  <c r="E37" i="71"/>
  <c r="E45" i="71"/>
  <c r="E53" i="71"/>
  <c r="E61" i="71"/>
  <c r="E30" i="71"/>
  <c r="E38" i="71"/>
  <c r="E46" i="71"/>
  <c r="E54" i="71"/>
  <c r="N4" i="139"/>
  <c r="E31" i="71"/>
  <c r="E39" i="71"/>
  <c r="E47" i="71"/>
  <c r="E55" i="71"/>
  <c r="G8" i="139"/>
  <c r="H8" i="139"/>
  <c r="H15" i="139"/>
  <c r="H11" i="139"/>
  <c r="H10" i="139"/>
  <c r="H7" i="139"/>
  <c r="H9" i="139"/>
  <c r="H5" i="139"/>
  <c r="H41" i="139"/>
  <c r="H6" i="139"/>
  <c r="H33" i="139"/>
  <c r="H13" i="139"/>
  <c r="S86" i="1"/>
  <c r="R20" i="1"/>
  <c r="S85" i="1"/>
  <c r="S62" i="1"/>
  <c r="S54" i="1"/>
  <c r="S59" i="1"/>
  <c r="S90" i="1"/>
  <c r="S92" i="1"/>
  <c r="S78" i="1"/>
  <c r="S73" i="1"/>
  <c r="R81" i="1"/>
  <c r="L448" i="83"/>
  <c r="M448" i="83" s="1"/>
  <c r="R42" i="1"/>
  <c r="S9" i="1"/>
  <c r="R18" i="1"/>
  <c r="R23" i="1"/>
  <c r="R51" i="1"/>
  <c r="R53" i="1"/>
  <c r="R33" i="1"/>
  <c r="R45" i="1"/>
  <c r="R41" i="1"/>
  <c r="R38" i="1"/>
  <c r="S42" i="1"/>
  <c r="S63" i="1"/>
  <c r="S65" i="1"/>
  <c r="S91" i="1"/>
  <c r="R13" i="1"/>
  <c r="S16" i="1"/>
  <c r="R48" i="1"/>
  <c r="R12" i="1"/>
  <c r="R17" i="1"/>
  <c r="R32" i="1"/>
  <c r="S58" i="1"/>
  <c r="R7" i="1"/>
  <c r="R35" i="1"/>
  <c r="S27" i="1"/>
  <c r="S12" i="1"/>
  <c r="R36" i="1"/>
  <c r="R15" i="1"/>
  <c r="R52" i="1"/>
  <c r="R29" i="1"/>
  <c r="S70" i="1"/>
  <c r="S31" i="1"/>
  <c r="S53" i="1"/>
  <c r="R28" i="1"/>
  <c r="R25" i="1"/>
  <c r="S46" i="1"/>
  <c r="S47" i="1"/>
  <c r="R31" i="1"/>
  <c r="R30" i="1"/>
  <c r="Q18" i="71"/>
  <c r="N47" i="1"/>
  <c r="N46" i="1"/>
  <c r="N14" i="1"/>
  <c r="N39" i="1"/>
  <c r="N23" i="1"/>
  <c r="D35" i="71" s="1"/>
  <c r="N18" i="1"/>
  <c r="M61" i="71"/>
  <c r="N50" i="71"/>
  <c r="N61" i="71"/>
  <c r="M50" i="71"/>
  <c r="N49" i="1"/>
  <c r="N17" i="1"/>
  <c r="D41" i="71" s="1"/>
  <c r="N40" i="1"/>
  <c r="N33" i="1"/>
  <c r="N52" i="1"/>
  <c r="N21" i="1"/>
  <c r="N11" i="1"/>
  <c r="D51" i="71" s="1"/>
  <c r="O4" i="139"/>
  <c r="O6" i="139"/>
  <c r="O8" i="139"/>
  <c r="H4" i="139"/>
  <c r="G4" i="139"/>
  <c r="O41" i="139"/>
  <c r="O13" i="139"/>
  <c r="N41" i="1"/>
  <c r="N34" i="1"/>
  <c r="N26" i="1"/>
  <c r="N16" i="1"/>
  <c r="N7" i="1"/>
  <c r="N44" i="1"/>
  <c r="N20" i="1"/>
  <c r="N10" i="1"/>
  <c r="N38" i="1"/>
  <c r="N12" i="1"/>
  <c r="N36" i="1"/>
  <c r="N9" i="1"/>
  <c r="D32" i="71" s="1"/>
  <c r="N50" i="1"/>
  <c r="N28" i="1"/>
  <c r="N19" i="1"/>
  <c r="N31" i="1"/>
  <c r="D49" i="71" s="1"/>
  <c r="N42" i="1"/>
  <c r="N8" i="1"/>
  <c r="N29" i="1"/>
  <c r="N22" i="1"/>
  <c r="M452" i="83"/>
  <c r="M541" i="83"/>
  <c r="M566" i="83"/>
  <c r="M495" i="83"/>
  <c r="M463" i="83"/>
  <c r="M154" i="83"/>
  <c r="M230" i="83"/>
  <c r="M117" i="83"/>
  <c r="M270" i="83"/>
  <c r="M190" i="83"/>
  <c r="M49" i="83"/>
  <c r="M43" i="83"/>
  <c r="M406" i="83"/>
  <c r="M39" i="83"/>
  <c r="M69" i="83"/>
  <c r="M350" i="83"/>
  <c r="M274" i="83"/>
  <c r="M126" i="83"/>
  <c r="M524" i="83"/>
  <c r="M289" i="83"/>
  <c r="M348" i="83"/>
  <c r="M239" i="83"/>
  <c r="M57" i="83"/>
  <c r="M150" i="83"/>
  <c r="M254" i="83"/>
  <c r="M338" i="83"/>
  <c r="M552" i="83"/>
  <c r="M194" i="83"/>
  <c r="M549" i="83"/>
  <c r="M266" i="83"/>
  <c r="M65" i="83"/>
  <c r="M574" i="83"/>
  <c r="M112" i="83"/>
  <c r="M99" i="83"/>
  <c r="M73" i="83"/>
  <c r="M435" i="83"/>
  <c r="M122" i="83"/>
  <c r="M578" i="83"/>
  <c r="M299" i="83"/>
  <c r="M176" i="83"/>
  <c r="M82" i="83"/>
  <c r="M41" i="83"/>
  <c r="M8" i="83"/>
  <c r="M182" i="83"/>
  <c r="M393" i="83"/>
  <c r="M536" i="83"/>
  <c r="M514" i="83"/>
  <c r="M398" i="83"/>
  <c r="M306" i="83"/>
  <c r="M166" i="83"/>
  <c r="M110" i="83"/>
  <c r="R46" i="1"/>
  <c r="S66" i="1"/>
  <c r="S30" i="1"/>
  <c r="S7" i="1"/>
  <c r="S74" i="1"/>
  <c r="D28" i="71"/>
  <c r="N25" i="1"/>
  <c r="S89" i="1"/>
  <c r="S22" i="1"/>
  <c r="R14" i="1"/>
  <c r="S45" i="1"/>
  <c r="S87" i="1"/>
  <c r="S8" i="1"/>
  <c r="S35" i="1"/>
  <c r="R19" i="1"/>
  <c r="S81" i="1"/>
  <c r="M64" i="83"/>
  <c r="M193" i="83"/>
  <c r="M151" i="83"/>
  <c r="M120" i="83"/>
  <c r="M470" i="83"/>
  <c r="M175" i="83"/>
  <c r="M241" i="83"/>
  <c r="M502" i="83"/>
  <c r="M149" i="83"/>
  <c r="M362" i="83"/>
  <c r="M329" i="83"/>
  <c r="M128" i="83"/>
  <c r="M556" i="83"/>
  <c r="M326" i="83"/>
  <c r="M248" i="83"/>
  <c r="M439" i="83"/>
  <c r="M186" i="83"/>
  <c r="M471" i="83"/>
  <c r="M384" i="83"/>
  <c r="M162" i="83"/>
  <c r="M71" i="83"/>
  <c r="N30" i="1"/>
  <c r="D33" i="71" s="1"/>
  <c r="R44" i="1"/>
  <c r="S51" i="1"/>
  <c r="S15" i="1"/>
  <c r="S82" i="1"/>
  <c r="S67" i="1"/>
  <c r="M282" i="83"/>
  <c r="M507" i="83"/>
  <c r="M199" i="83"/>
  <c r="M573" i="83"/>
  <c r="M205" i="83"/>
  <c r="M91" i="83"/>
  <c r="M528" i="83"/>
  <c r="M23" i="83"/>
  <c r="M142" i="83"/>
  <c r="M48" i="83"/>
  <c r="M538" i="83"/>
  <c r="M10" i="83"/>
  <c r="M388" i="83"/>
  <c r="M475" i="83"/>
  <c r="M129" i="83"/>
  <c r="M533" i="83"/>
  <c r="M382" i="83"/>
  <c r="M290" i="83"/>
  <c r="M161" i="83"/>
  <c r="M109" i="83"/>
  <c r="M9" i="83"/>
  <c r="R39" i="1"/>
  <c r="S37" i="1"/>
  <c r="S19" i="1"/>
  <c r="S79" i="1"/>
  <c r="S75" i="1"/>
  <c r="S17" i="1"/>
  <c r="S43" i="1"/>
  <c r="S49" i="1"/>
  <c r="L296" i="83"/>
  <c r="M296" i="83" s="1"/>
  <c r="L572" i="83"/>
  <c r="M572" i="83" s="1"/>
  <c r="L21" i="83"/>
  <c r="M21" i="83" s="1"/>
  <c r="L103" i="83"/>
  <c r="M103" i="83" s="1"/>
  <c r="L246" i="83"/>
  <c r="M246" i="83" s="1"/>
  <c r="L233" i="83"/>
  <c r="M233" i="83" s="1"/>
  <c r="K23" i="1"/>
  <c r="L286" i="83" s="1"/>
  <c r="M286" i="83" s="1"/>
  <c r="L303" i="83"/>
  <c r="M303" i="83" s="1"/>
  <c r="L359" i="83"/>
  <c r="M359" i="83" s="1"/>
  <c r="L522" i="83"/>
  <c r="M522" i="83" s="1"/>
  <c r="L547" i="83"/>
  <c r="M547" i="83" s="1"/>
  <c r="L570" i="83"/>
  <c r="M570" i="83" s="1"/>
  <c r="L434" i="83"/>
  <c r="M434" i="83" s="1"/>
  <c r="L561" i="83"/>
  <c r="M561" i="83" s="1"/>
  <c r="L29" i="83"/>
  <c r="M29" i="83" s="1"/>
  <c r="L5" i="83"/>
  <c r="M5" i="83" s="1"/>
  <c r="L75" i="83"/>
  <c r="M75" i="83" s="1"/>
  <c r="L93" i="83"/>
  <c r="M93" i="83" s="1"/>
  <c r="K11" i="1"/>
  <c r="L376" i="83" s="1"/>
  <c r="M376" i="83" s="1"/>
  <c r="K43" i="1"/>
  <c r="L163" i="83" s="1"/>
  <c r="M163" i="83" s="1"/>
  <c r="L249" i="83"/>
  <c r="M249" i="83" s="1"/>
  <c r="L268" i="83"/>
  <c r="M268" i="83" s="1"/>
  <c r="K13" i="1"/>
  <c r="L294" i="83" s="1"/>
  <c r="M294" i="83" s="1"/>
  <c r="L373" i="83"/>
  <c r="M373" i="83" s="1"/>
  <c r="K50" i="1"/>
  <c r="L341" i="83" s="1"/>
  <c r="M341" i="83" s="1"/>
  <c r="S48" i="1"/>
  <c r="R50" i="1"/>
  <c r="R24" i="1"/>
  <c r="S41" i="1"/>
  <c r="S36" i="1"/>
  <c r="R40" i="1"/>
  <c r="R43" i="1"/>
  <c r="S50" i="1"/>
  <c r="R8" i="1"/>
  <c r="S80" i="1"/>
  <c r="S34" i="1"/>
  <c r="S29" i="1"/>
  <c r="S71" i="1"/>
  <c r="S83" i="1"/>
  <c r="S20" i="1"/>
  <c r="S61" i="1"/>
  <c r="S57" i="1"/>
  <c r="S25" i="1"/>
  <c r="S11" i="1"/>
  <c r="R11" i="1"/>
  <c r="R34" i="1"/>
  <c r="R27" i="1"/>
  <c r="R37" i="1"/>
  <c r="R49" i="1"/>
  <c r="Q47" i="1"/>
  <c r="S26" i="1"/>
  <c r="R6" i="1"/>
  <c r="N32" i="1"/>
  <c r="N24" i="1"/>
  <c r="D58" i="71"/>
  <c r="D47" i="71"/>
  <c r="N48" i="1"/>
  <c r="D22" i="71" s="1"/>
  <c r="N51" i="1"/>
  <c r="N43" i="1"/>
  <c r="N35" i="1"/>
  <c r="N27" i="1"/>
  <c r="D54" i="71"/>
  <c r="Q50" i="71"/>
  <c r="D53" i="71"/>
  <c r="Q44" i="71"/>
  <c r="Q11" i="71"/>
  <c r="D59" i="71"/>
  <c r="L152" i="83"/>
  <c r="M152" i="83" s="1"/>
  <c r="L30" i="83"/>
  <c r="M30" i="83" s="1"/>
  <c r="K8" i="1"/>
  <c r="L6" i="83" s="1"/>
  <c r="M6" i="83" s="1"/>
  <c r="K15" i="1"/>
  <c r="L18" i="83" s="1"/>
  <c r="M18" i="83" s="1"/>
  <c r="K10" i="1"/>
  <c r="L32" i="83" s="1"/>
  <c r="M32" i="83" s="1"/>
  <c r="L35" i="83"/>
  <c r="M35" i="83" s="1"/>
  <c r="L51" i="83"/>
  <c r="M51" i="83" s="1"/>
  <c r="L55" i="83"/>
  <c r="M55" i="83" s="1"/>
  <c r="L61" i="83"/>
  <c r="M61" i="83" s="1"/>
  <c r="L70" i="83"/>
  <c r="M70" i="83" s="1"/>
  <c r="L44" i="83"/>
  <c r="M44" i="83" s="1"/>
  <c r="K17" i="1"/>
  <c r="L83" i="83" s="1"/>
  <c r="M83" i="83" s="1"/>
  <c r="L88" i="83"/>
  <c r="M88" i="83" s="1"/>
  <c r="L125" i="83"/>
  <c r="M125" i="83" s="1"/>
  <c r="L124" i="83"/>
  <c r="M124" i="83" s="1"/>
  <c r="L219" i="83"/>
  <c r="M219" i="83" s="1"/>
  <c r="K24" i="1"/>
  <c r="L148" i="83" s="1"/>
  <c r="M148" i="83" s="1"/>
  <c r="L157" i="83"/>
  <c r="M157" i="83" s="1"/>
  <c r="K34" i="1"/>
  <c r="L165" i="83" s="1"/>
  <c r="M165" i="83" s="1"/>
  <c r="L206" i="83"/>
  <c r="M206" i="83" s="1"/>
  <c r="L213" i="83"/>
  <c r="M213" i="83" s="1"/>
  <c r="L226" i="83"/>
  <c r="M226" i="83" s="1"/>
  <c r="K39" i="1"/>
  <c r="L238" i="83" s="1"/>
  <c r="M238" i="83" s="1"/>
  <c r="L257" i="83"/>
  <c r="M257" i="83" s="1"/>
  <c r="L251" i="83"/>
  <c r="M251" i="83" s="1"/>
  <c r="L283" i="83"/>
  <c r="M283" i="83" s="1"/>
  <c r="K31" i="1"/>
  <c r="L269" i="83" s="1"/>
  <c r="M269" i="83" s="1"/>
  <c r="L318" i="83"/>
  <c r="M318" i="83" s="1"/>
  <c r="L141" i="83"/>
  <c r="M141" i="83" s="1"/>
  <c r="L321" i="83"/>
  <c r="M321" i="83" s="1"/>
  <c r="L312" i="83"/>
  <c r="M312" i="83" s="1"/>
  <c r="L323" i="83"/>
  <c r="M323" i="83" s="1"/>
  <c r="L317" i="83"/>
  <c r="M317" i="83" s="1"/>
  <c r="L301" i="83"/>
  <c r="M301" i="83" s="1"/>
  <c r="L355" i="83"/>
  <c r="M355" i="83" s="1"/>
  <c r="L358" i="83"/>
  <c r="M358" i="83" s="1"/>
  <c r="L365" i="83"/>
  <c r="M365" i="83" s="1"/>
  <c r="L367" i="83"/>
  <c r="M367" i="83" s="1"/>
  <c r="L335" i="83"/>
  <c r="M335" i="83" s="1"/>
  <c r="L342" i="83"/>
  <c r="M342" i="83" s="1"/>
  <c r="K41" i="1"/>
  <c r="L347" i="83" s="1"/>
  <c r="M347" i="83" s="1"/>
  <c r="L413" i="83"/>
  <c r="M413" i="83" s="1"/>
  <c r="L417" i="83"/>
  <c r="M417" i="83" s="1"/>
  <c r="L420" i="83"/>
  <c r="M420" i="83" s="1"/>
  <c r="L430" i="83"/>
  <c r="M430" i="83" s="1"/>
  <c r="L400" i="83"/>
  <c r="M400" i="83" s="1"/>
  <c r="L436" i="83"/>
  <c r="M436" i="83" s="1"/>
  <c r="L442" i="83"/>
  <c r="M442" i="83" s="1"/>
  <c r="L445" i="83"/>
  <c r="M445" i="83" s="1"/>
  <c r="L449" i="83"/>
  <c r="M449" i="83" s="1"/>
  <c r="L459" i="83"/>
  <c r="M459" i="83" s="1"/>
  <c r="L464" i="83"/>
  <c r="M464" i="83" s="1"/>
  <c r="L479" i="83"/>
  <c r="M479" i="83" s="1"/>
  <c r="L483" i="83"/>
  <c r="M483" i="83" s="1"/>
  <c r="L476" i="83"/>
  <c r="M476" i="83" s="1"/>
  <c r="L496" i="83"/>
  <c r="M496" i="83" s="1"/>
  <c r="L501" i="83"/>
  <c r="M501" i="83" s="1"/>
  <c r="L510" i="83"/>
  <c r="M510" i="83" s="1"/>
  <c r="L517" i="83"/>
  <c r="M517" i="83" s="1"/>
  <c r="K19" i="1"/>
  <c r="L539" i="83" s="1"/>
  <c r="M539" i="83" s="1"/>
  <c r="L577" i="83"/>
  <c r="M577" i="83" s="1"/>
  <c r="L582" i="83"/>
  <c r="M582" i="83" s="1"/>
  <c r="L558" i="83"/>
  <c r="M558" i="83" s="1"/>
  <c r="L31" i="83"/>
  <c r="M31" i="83" s="1"/>
  <c r="L7" i="83"/>
  <c r="M7" i="83" s="1"/>
  <c r="L27" i="83"/>
  <c r="M27" i="83" s="1"/>
  <c r="G54" i="71"/>
  <c r="K40" i="1"/>
  <c r="L66" i="83" s="1"/>
  <c r="M66" i="83" s="1"/>
  <c r="L76" i="83"/>
  <c r="M76" i="83" s="1"/>
  <c r="L89" i="83"/>
  <c r="M89" i="83" s="1"/>
  <c r="L96" i="83"/>
  <c r="M96" i="83" s="1"/>
  <c r="L119" i="83"/>
  <c r="M119" i="83" s="1"/>
  <c r="K9" i="1"/>
  <c r="G8" i="71" s="1"/>
  <c r="L135" i="83"/>
  <c r="M135" i="83" s="1"/>
  <c r="L144" i="83"/>
  <c r="M144" i="83" s="1"/>
  <c r="L222" i="83"/>
  <c r="M222" i="83" s="1"/>
  <c r="L159" i="83"/>
  <c r="M159" i="83" s="1"/>
  <c r="L167" i="83"/>
  <c r="M167" i="83" s="1"/>
  <c r="L178" i="83"/>
  <c r="M178" i="83" s="1"/>
  <c r="L183" i="83"/>
  <c r="M183" i="83" s="1"/>
  <c r="L191" i="83"/>
  <c r="M191" i="83" s="1"/>
  <c r="L197" i="83"/>
  <c r="M197" i="83" s="1"/>
  <c r="K46" i="1"/>
  <c r="L202" i="83" s="1"/>
  <c r="M202" i="83" s="1"/>
  <c r="L209" i="83"/>
  <c r="M209" i="83" s="1"/>
  <c r="K53" i="1"/>
  <c r="L214" i="83" s="1"/>
  <c r="M214" i="83" s="1"/>
  <c r="K14" i="1"/>
  <c r="K21" i="1"/>
  <c r="L242" i="83" s="1"/>
  <c r="M242" i="83" s="1"/>
  <c r="L258" i="83"/>
  <c r="M258" i="83" s="1"/>
  <c r="L253" i="83"/>
  <c r="M253" i="83" s="1"/>
  <c r="L278" i="83"/>
  <c r="M278" i="83" s="1"/>
  <c r="L284" i="83"/>
  <c r="M284" i="83" s="1"/>
  <c r="L560" i="83"/>
  <c r="M560" i="83" s="1"/>
  <c r="L320" i="83"/>
  <c r="M320" i="83" s="1"/>
  <c r="L309" i="83"/>
  <c r="M309" i="83" s="1"/>
  <c r="L313" i="83"/>
  <c r="M313" i="83" s="1"/>
  <c r="L316" i="83"/>
  <c r="M316" i="83" s="1"/>
  <c r="L291" i="83"/>
  <c r="M291" i="83" s="1"/>
  <c r="L298" i="83"/>
  <c r="M298" i="83" s="1"/>
  <c r="L352" i="83"/>
  <c r="M352" i="83" s="1"/>
  <c r="L369" i="83"/>
  <c r="M369" i="83" s="1"/>
  <c r="L364" i="83"/>
  <c r="M364" i="83" s="1"/>
  <c r="L368" i="83"/>
  <c r="M368" i="83" s="1"/>
  <c r="L339" i="83"/>
  <c r="M339" i="83" s="1"/>
  <c r="L349" i="83"/>
  <c r="M349" i="83" s="1"/>
  <c r="L418" i="83"/>
  <c r="M418" i="83" s="1"/>
  <c r="L425" i="83"/>
  <c r="M425" i="83" s="1"/>
  <c r="L460" i="83"/>
  <c r="M460" i="83" s="1"/>
  <c r="L394" i="83"/>
  <c r="M394" i="83" s="1"/>
  <c r="L480" i="83"/>
  <c r="M480" i="83" s="1"/>
  <c r="K22" i="1"/>
  <c r="L493" i="83"/>
  <c r="M493" i="83" s="1"/>
  <c r="K47" i="1"/>
  <c r="L497" i="83" s="1"/>
  <c r="M497" i="83" s="1"/>
  <c r="L503" i="83"/>
  <c r="M503" i="83" s="1"/>
  <c r="L506" i="83"/>
  <c r="M506" i="83" s="1"/>
  <c r="L518" i="83"/>
  <c r="M518" i="83" s="1"/>
  <c r="L540" i="83"/>
  <c r="M540" i="83" s="1"/>
  <c r="L579" i="83"/>
  <c r="M579" i="83" s="1"/>
  <c r="L553" i="83"/>
  <c r="M553" i="83" s="1"/>
  <c r="L264" i="83"/>
  <c r="M264" i="83" s="1"/>
  <c r="L565" i="83"/>
  <c r="M565" i="83" s="1"/>
  <c r="C9" i="71"/>
  <c r="L171" i="83"/>
  <c r="M171" i="83" s="1"/>
  <c r="L189" i="83"/>
  <c r="M189" i="83" s="1"/>
  <c r="L392" i="83"/>
  <c r="M392" i="83" s="1"/>
  <c r="L387" i="83"/>
  <c r="M387" i="83" s="1"/>
  <c r="L111" i="83"/>
  <c r="M111" i="83" s="1"/>
  <c r="L133" i="83"/>
  <c r="M133" i="83" s="1"/>
  <c r="L527" i="83"/>
  <c r="M527" i="83" s="1"/>
  <c r="L563" i="83"/>
  <c r="M563" i="83" s="1"/>
  <c r="N15" i="1"/>
  <c r="N6" i="1"/>
  <c r="D36" i="71"/>
  <c r="D27" i="71"/>
  <c r="N53" i="1"/>
  <c r="N45" i="1"/>
  <c r="D29" i="71" s="1"/>
  <c r="N37" i="1"/>
  <c r="N13" i="1"/>
  <c r="D10" i="71" s="1"/>
  <c r="G56" i="71"/>
  <c r="L12" i="83"/>
  <c r="M12" i="83" s="1"/>
  <c r="K16" i="1"/>
  <c r="L33" i="83" s="1"/>
  <c r="M33" i="83" s="1"/>
  <c r="L52" i="83"/>
  <c r="M52" i="83" s="1"/>
  <c r="L68" i="83"/>
  <c r="M68" i="83" s="1"/>
  <c r="K37" i="1"/>
  <c r="L72" i="83" s="1"/>
  <c r="M72" i="83" s="1"/>
  <c r="L77" i="83"/>
  <c r="M77" i="83" s="1"/>
  <c r="L86" i="83"/>
  <c r="M86" i="83" s="1"/>
  <c r="L90" i="83"/>
  <c r="M90" i="83" s="1"/>
  <c r="K7" i="1"/>
  <c r="L107" i="83" s="1"/>
  <c r="M107" i="83" s="1"/>
  <c r="G26" i="71"/>
  <c r="K36" i="1"/>
  <c r="L121" i="83" s="1"/>
  <c r="M121" i="83" s="1"/>
  <c r="L218" i="83"/>
  <c r="M218" i="83" s="1"/>
  <c r="L220" i="83"/>
  <c r="M220" i="83" s="1"/>
  <c r="K25" i="1"/>
  <c r="L153" i="83" s="1"/>
  <c r="M153" i="83" s="1"/>
  <c r="K30" i="1"/>
  <c r="L168" i="83" s="1"/>
  <c r="M168" i="83" s="1"/>
  <c r="L173" i="83"/>
  <c r="M173" i="83" s="1"/>
  <c r="L192" i="83"/>
  <c r="M192" i="83" s="1"/>
  <c r="L515" i="83"/>
  <c r="M515" i="83" s="1"/>
  <c r="L216" i="83"/>
  <c r="M216" i="83" s="1"/>
  <c r="L245" i="83"/>
  <c r="M245" i="83" s="1"/>
  <c r="K33" i="1"/>
  <c r="L385" i="83" s="1"/>
  <c r="M385" i="83" s="1"/>
  <c r="K51" i="1"/>
  <c r="L234" i="83" s="1"/>
  <c r="M234" i="83" s="1"/>
  <c r="L243" i="83"/>
  <c r="M243" i="83" s="1"/>
  <c r="L256" i="83"/>
  <c r="M256" i="83" s="1"/>
  <c r="L247" i="83"/>
  <c r="M247" i="83" s="1"/>
  <c r="L285" i="83"/>
  <c r="M285" i="83" s="1"/>
  <c r="L267" i="83"/>
  <c r="M267" i="83" s="1"/>
  <c r="L272" i="83"/>
  <c r="M272" i="83" s="1"/>
  <c r="L310" i="83"/>
  <c r="M310" i="83" s="1"/>
  <c r="L328" i="83"/>
  <c r="M328" i="83" s="1"/>
  <c r="L292" i="83"/>
  <c r="M292" i="83" s="1"/>
  <c r="K49" i="1"/>
  <c r="L559" i="83" s="1"/>
  <c r="M559" i="83" s="1"/>
  <c r="L353" i="83"/>
  <c r="M353" i="83" s="1"/>
  <c r="L356" i="83"/>
  <c r="M356" i="83" s="1"/>
  <c r="L360" i="83"/>
  <c r="M360" i="83" s="1"/>
  <c r="L370" i="83"/>
  <c r="M370" i="83" s="1"/>
  <c r="L372" i="83"/>
  <c r="M372" i="83" s="1"/>
  <c r="L374" i="83"/>
  <c r="M374" i="83" s="1"/>
  <c r="L333" i="83"/>
  <c r="M333" i="83" s="1"/>
  <c r="L344" i="83"/>
  <c r="M344" i="83" s="1"/>
  <c r="L351" i="83"/>
  <c r="M351" i="83" s="1"/>
  <c r="L415" i="83"/>
  <c r="M415" i="83" s="1"/>
  <c r="L421" i="83"/>
  <c r="M421" i="83" s="1"/>
  <c r="L426" i="83"/>
  <c r="M426" i="83" s="1"/>
  <c r="L432" i="83"/>
  <c r="M432" i="83" s="1"/>
  <c r="L447" i="83"/>
  <c r="M447" i="83" s="1"/>
  <c r="L451" i="83"/>
  <c r="M451" i="83" s="1"/>
  <c r="L412" i="83"/>
  <c r="M412" i="83" s="1"/>
  <c r="L461" i="83"/>
  <c r="M461" i="83" s="1"/>
  <c r="L380" i="83"/>
  <c r="M380" i="83" s="1"/>
  <c r="L465" i="83"/>
  <c r="M465" i="83" s="1"/>
  <c r="L481" i="83"/>
  <c r="M481" i="83" s="1"/>
  <c r="K27" i="1"/>
  <c r="L473" i="83" s="1"/>
  <c r="M473" i="83" s="1"/>
  <c r="L498" i="83"/>
  <c r="M498" i="83" s="1"/>
  <c r="L504" i="83"/>
  <c r="M504" i="83" s="1"/>
  <c r="L508" i="83"/>
  <c r="M508" i="83" s="1"/>
  <c r="L512" i="83"/>
  <c r="M512" i="83" s="1"/>
  <c r="L519" i="83"/>
  <c r="M519" i="83" s="1"/>
  <c r="L529" i="83"/>
  <c r="M529" i="83" s="1"/>
  <c r="L580" i="83"/>
  <c r="M580" i="83" s="1"/>
  <c r="L583" i="83"/>
  <c r="M583" i="83" s="1"/>
  <c r="K38" i="1"/>
  <c r="L554" i="83" s="1"/>
  <c r="M554" i="83" s="1"/>
  <c r="C14" i="71"/>
  <c r="B51" i="71"/>
  <c r="D61" i="71"/>
  <c r="B18" i="71"/>
  <c r="F59" i="71"/>
  <c r="C23" i="71"/>
  <c r="C53" i="71"/>
  <c r="F50" i="71"/>
  <c r="B30" i="71"/>
  <c r="B58" i="71"/>
  <c r="F61" i="71"/>
  <c r="B34" i="71"/>
  <c r="Q8" i="71"/>
  <c r="Q16" i="71"/>
  <c r="Q24" i="71"/>
  <c r="Q32" i="71"/>
  <c r="Q40" i="71"/>
  <c r="Q48" i="71"/>
  <c r="Q56" i="71"/>
  <c r="C50" i="71"/>
  <c r="Q9" i="71"/>
  <c r="Q17" i="71"/>
  <c r="Q25" i="71"/>
  <c r="Q33" i="71"/>
  <c r="Q41" i="71"/>
  <c r="Q49" i="71"/>
  <c r="Q57" i="71"/>
  <c r="B48" i="71"/>
  <c r="D50" i="71"/>
  <c r="G59" i="71"/>
  <c r="C61" i="71"/>
  <c r="Q13" i="71"/>
  <c r="Q21" i="71"/>
  <c r="Q29" i="71"/>
  <c r="Q37" i="71"/>
  <c r="Q45" i="71"/>
  <c r="Q53" i="71"/>
  <c r="Q61" i="71"/>
  <c r="G61" i="71"/>
  <c r="Q7" i="71"/>
  <c r="Q20" i="71"/>
  <c r="Q34" i="71"/>
  <c r="Q46" i="71"/>
  <c r="Q59" i="71"/>
  <c r="Q10" i="71"/>
  <c r="Q22" i="71"/>
  <c r="Q35" i="71"/>
  <c r="Q47" i="71"/>
  <c r="Q60" i="71"/>
  <c r="Q12" i="71"/>
  <c r="Q26" i="71"/>
  <c r="Q38" i="71"/>
  <c r="Q51" i="71"/>
  <c r="B59" i="71"/>
  <c r="H59" i="71" s="1"/>
  <c r="Q14" i="71"/>
  <c r="Q27" i="71"/>
  <c r="Q39" i="71"/>
  <c r="Q52" i="71"/>
  <c r="G50" i="71"/>
  <c r="C59" i="71"/>
  <c r="Q15" i="71"/>
  <c r="Q28" i="71"/>
  <c r="Q42" i="71"/>
  <c r="Q54" i="71"/>
  <c r="D25" i="71"/>
  <c r="G53" i="71"/>
  <c r="D60" i="71"/>
  <c r="Q19" i="71"/>
  <c r="Q55" i="71"/>
  <c r="D52" i="71"/>
  <c r="Q23" i="71"/>
  <c r="Q58" i="71"/>
  <c r="B50" i="71"/>
  <c r="Q30" i="71"/>
  <c r="Q5" i="71"/>
  <c r="Q31" i="71"/>
  <c r="B61" i="71"/>
  <c r="Q36" i="71"/>
  <c r="Q6" i="71"/>
  <c r="Q43" i="71"/>
  <c r="F27" i="71"/>
  <c r="G27" i="71"/>
  <c r="L139" i="83"/>
  <c r="M139" i="83" s="1"/>
  <c r="L307" i="83"/>
  <c r="M307" i="83" s="1"/>
  <c r="L492" i="83"/>
  <c r="M492" i="83" s="1"/>
  <c r="L130" i="83"/>
  <c r="M130" i="83" s="1"/>
  <c r="L4" i="83"/>
  <c r="M4" i="83" s="1"/>
  <c r="L37" i="83"/>
  <c r="M37" i="83" s="1"/>
  <c r="L378" i="83"/>
  <c r="M378" i="83" s="1"/>
  <c r="L548" i="83"/>
  <c r="M548" i="83" s="1"/>
  <c r="L187" i="83"/>
  <c r="M187" i="83" s="1"/>
  <c r="L179" i="83"/>
  <c r="M179" i="83" s="1"/>
  <c r="L486" i="83"/>
  <c r="M486" i="83" s="1"/>
  <c r="G47" i="71"/>
  <c r="L224" i="83"/>
  <c r="M224" i="83" s="1"/>
  <c r="F25" i="71"/>
  <c r="G25" i="71"/>
  <c r="L542" i="83"/>
  <c r="M542" i="83" s="1"/>
  <c r="D55" i="71"/>
  <c r="D23" i="71"/>
  <c r="G9" i="71"/>
  <c r="D57" i="71"/>
  <c r="D26" i="71"/>
  <c r="D56" i="71"/>
  <c r="G41" i="71"/>
  <c r="G52" i="71"/>
  <c r="L444" i="83"/>
  <c r="M444" i="83" s="1"/>
  <c r="K29" i="1"/>
  <c r="L571" i="83" s="1"/>
  <c r="M571" i="83" s="1"/>
  <c r="C15" i="71"/>
  <c r="C41" i="71"/>
  <c r="C37" i="71"/>
  <c r="L567" i="83"/>
  <c r="M567" i="83" s="1"/>
  <c r="L523" i="83"/>
  <c r="M523" i="83" s="1"/>
  <c r="L346" i="83"/>
  <c r="M346" i="83" s="1"/>
  <c r="L500" i="83"/>
  <c r="M500" i="83" s="1"/>
  <c r="L36" i="83"/>
  <c r="M36" i="83" s="1"/>
  <c r="K18" i="1"/>
  <c r="L223" i="83" s="1"/>
  <c r="M223" i="83" s="1"/>
  <c r="L343" i="83"/>
  <c r="M343" i="83" s="1"/>
  <c r="L414" i="83"/>
  <c r="M414" i="83" s="1"/>
  <c r="L431" i="83"/>
  <c r="M431" i="83" s="1"/>
  <c r="L446" i="83"/>
  <c r="M446" i="83" s="1"/>
  <c r="L450" i="83"/>
  <c r="M450" i="83" s="1"/>
  <c r="L457" i="83"/>
  <c r="M457" i="83" s="1"/>
  <c r="K52" i="1"/>
  <c r="L177" i="83" s="1"/>
  <c r="M177" i="83" s="1"/>
  <c r="L488" i="83"/>
  <c r="M488" i="83" s="1"/>
  <c r="L411" i="83"/>
  <c r="M411" i="83" s="1"/>
  <c r="L261" i="83"/>
  <c r="M261" i="83" s="1"/>
  <c r="E12" i="71"/>
  <c r="L403" i="83"/>
  <c r="M403" i="83" s="1"/>
  <c r="L281" i="83"/>
  <c r="M281" i="83" s="1"/>
  <c r="L304" i="83"/>
  <c r="M304" i="83" s="1"/>
  <c r="L314" i="83"/>
  <c r="M314" i="83" s="1"/>
  <c r="L419" i="83"/>
  <c r="M419" i="83" s="1"/>
  <c r="L429" i="83"/>
  <c r="M429" i="83" s="1"/>
  <c r="L440" i="83"/>
  <c r="M440" i="83" s="1"/>
  <c r="L511" i="83"/>
  <c r="M511" i="83" s="1"/>
  <c r="L389" i="83"/>
  <c r="M389" i="83" s="1"/>
  <c r="F44" i="71"/>
  <c r="L101" i="83"/>
  <c r="M101" i="83" s="1"/>
  <c r="L221" i="83"/>
  <c r="M221" i="83" s="1"/>
  <c r="L170" i="83"/>
  <c r="M170" i="83" s="1"/>
  <c r="K6" i="1"/>
  <c r="L244" i="83"/>
  <c r="M244" i="83" s="1"/>
  <c r="L262" i="83"/>
  <c r="M262" i="83" s="1"/>
  <c r="L277" i="83"/>
  <c r="M277" i="83" s="1"/>
  <c r="L279" i="83"/>
  <c r="M279" i="83" s="1"/>
  <c r="L273" i="83"/>
  <c r="M273" i="83" s="1"/>
  <c r="L322" i="83"/>
  <c r="M322" i="83" s="1"/>
  <c r="L315" i="83"/>
  <c r="M315" i="83" s="1"/>
  <c r="L325" i="83"/>
  <c r="M325" i="83" s="1"/>
  <c r="L24" i="83"/>
  <c r="M24" i="83" s="1"/>
  <c r="L138" i="83"/>
  <c r="M138" i="83" s="1"/>
  <c r="L422" i="83"/>
  <c r="M422" i="83" s="1"/>
  <c r="L427" i="83"/>
  <c r="M427" i="83" s="1"/>
  <c r="L402" i="83"/>
  <c r="M402" i="83" s="1"/>
  <c r="L407" i="83"/>
  <c r="M407" i="83" s="1"/>
  <c r="L455" i="83"/>
  <c r="M455" i="83" s="1"/>
  <c r="K42" i="1"/>
  <c r="L568" i="83" s="1"/>
  <c r="M568" i="83" s="1"/>
  <c r="L56" i="83"/>
  <c r="M56" i="83" s="1"/>
  <c r="E7" i="71"/>
  <c r="L366" i="83"/>
  <c r="M366" i="83" s="1"/>
  <c r="L94" i="83"/>
  <c r="M94" i="83" s="1"/>
  <c r="L231" i="83"/>
  <c r="M231" i="83" s="1"/>
  <c r="L423" i="83"/>
  <c r="M423" i="83" s="1"/>
  <c r="L456" i="83"/>
  <c r="M456" i="83" s="1"/>
  <c r="L478" i="83"/>
  <c r="M478" i="83" s="1"/>
  <c r="G60" i="71"/>
  <c r="L87" i="83"/>
  <c r="M87" i="83" s="1"/>
  <c r="L140" i="83"/>
  <c r="M140" i="83" s="1"/>
  <c r="L300" i="83"/>
  <c r="M300" i="83" s="1"/>
  <c r="L377" i="83"/>
  <c r="M377" i="83" s="1"/>
  <c r="L174" i="83"/>
  <c r="M174" i="83" s="1"/>
  <c r="L375" i="83"/>
  <c r="M375" i="83" s="1"/>
  <c r="L58" i="83"/>
  <c r="M58" i="83" s="1"/>
  <c r="L198" i="83"/>
  <c r="M198" i="83" s="1"/>
  <c r="K32" i="1"/>
  <c r="L401" i="83" s="1"/>
  <c r="M401" i="83" s="1"/>
  <c r="L494" i="83"/>
  <c r="M494" i="83" s="1"/>
  <c r="G22" i="71"/>
  <c r="F56" i="71"/>
  <c r="L42" i="83"/>
  <c r="M42" i="83" s="1"/>
  <c r="L340" i="83"/>
  <c r="M340" i="83" s="1"/>
  <c r="L53" i="83"/>
  <c r="M53" i="83" s="1"/>
  <c r="G57" i="71"/>
  <c r="L416" i="83"/>
  <c r="M416" i="83" s="1"/>
  <c r="L557" i="83"/>
  <c r="M557" i="83" s="1"/>
  <c r="L319" i="83"/>
  <c r="M319" i="83" s="1"/>
  <c r="L132" i="83"/>
  <c r="M132" i="83" s="1"/>
  <c r="L102" i="83"/>
  <c r="M102" i="83" s="1"/>
  <c r="L147" i="83"/>
  <c r="M147" i="83" s="1"/>
  <c r="E20" i="71"/>
  <c r="L181" i="83"/>
  <c r="M181" i="83" s="1"/>
  <c r="L265" i="83"/>
  <c r="M265" i="83" s="1"/>
  <c r="L363" i="83"/>
  <c r="M363" i="83" s="1"/>
  <c r="L405" i="83"/>
  <c r="M405" i="83" s="1"/>
  <c r="F38" i="71"/>
  <c r="E8" i="71"/>
  <c r="G23" i="71"/>
  <c r="B55" i="71"/>
  <c r="B54" i="71"/>
  <c r="B49" i="71"/>
  <c r="B42" i="71"/>
  <c r="B35" i="71"/>
  <c r="B31" i="71"/>
  <c r="B24" i="71"/>
  <c r="E22" i="71"/>
  <c r="C18" i="71"/>
  <c r="E5" i="71"/>
  <c r="B8" i="71"/>
  <c r="B45" i="71"/>
  <c r="F41" i="71"/>
  <c r="B38" i="71"/>
  <c r="B28" i="71"/>
  <c r="B26" i="71"/>
  <c r="F23" i="71"/>
  <c r="B22" i="71"/>
  <c r="E18" i="71"/>
  <c r="B15" i="71"/>
  <c r="C12" i="71"/>
  <c r="B5" i="71"/>
  <c r="C7" i="71"/>
  <c r="C6" i="71"/>
  <c r="C57" i="71"/>
  <c r="C56" i="71"/>
  <c r="C47" i="71"/>
  <c r="B41" i="71"/>
  <c r="B36" i="71"/>
  <c r="C29" i="71"/>
  <c r="C27" i="71"/>
  <c r="C25" i="71"/>
  <c r="E23" i="71"/>
  <c r="B20" i="71"/>
  <c r="E17" i="71"/>
  <c r="E14" i="71"/>
  <c r="B12" i="71"/>
  <c r="E9" i="71"/>
  <c r="B7" i="71"/>
  <c r="F60" i="71"/>
  <c r="F33" i="71"/>
  <c r="F49" i="71"/>
  <c r="F39" i="71"/>
  <c r="F36" i="71"/>
  <c r="F30" i="71"/>
  <c r="F20" i="71"/>
  <c r="C55" i="71"/>
  <c r="C10" i="71"/>
  <c r="C46" i="71"/>
  <c r="C52" i="71"/>
  <c r="C21" i="71"/>
  <c r="C34" i="71"/>
  <c r="C38" i="71"/>
  <c r="B53" i="71"/>
  <c r="B33" i="71"/>
  <c r="B44" i="71"/>
  <c r="C32" i="71"/>
  <c r="B23" i="71"/>
  <c r="F19" i="71"/>
  <c r="B17" i="71"/>
  <c r="B14" i="71"/>
  <c r="E11" i="71"/>
  <c r="B9" i="71"/>
  <c r="F58" i="71"/>
  <c r="F43" i="71"/>
  <c r="F47" i="71"/>
  <c r="F22" i="71"/>
  <c r="F11" i="71"/>
  <c r="F14" i="71"/>
  <c r="C11" i="71"/>
  <c r="C60" i="71"/>
  <c r="B57" i="71"/>
  <c r="B56" i="71"/>
  <c r="F52" i="71"/>
  <c r="B47" i="71"/>
  <c r="B40" i="71"/>
  <c r="B37" i="71"/>
  <c r="B29" i="71"/>
  <c r="B27" i="71"/>
  <c r="B25" i="71"/>
  <c r="E21" i="71"/>
  <c r="C19" i="71"/>
  <c r="C16" i="71"/>
  <c r="C13" i="71"/>
  <c r="B11" i="71"/>
  <c r="F8" i="71"/>
  <c r="C17" i="71"/>
  <c r="C39" i="71"/>
  <c r="F55" i="71"/>
  <c r="C54" i="71"/>
  <c r="C49" i="71"/>
  <c r="B43" i="71"/>
  <c r="C35" i="71"/>
  <c r="B32" i="71"/>
  <c r="F28" i="71"/>
  <c r="F26" i="71"/>
  <c r="C24" i="71"/>
  <c r="B21" i="71"/>
  <c r="E19" i="71"/>
  <c r="E16" i="71"/>
  <c r="E13" i="71"/>
  <c r="E10" i="71"/>
  <c r="C8" i="71"/>
  <c r="F57" i="71"/>
  <c r="F54" i="71"/>
  <c r="F53" i="71"/>
  <c r="F9" i="71"/>
  <c r="B60" i="71"/>
  <c r="B52" i="71"/>
  <c r="B46" i="71"/>
  <c r="B39" i="71"/>
  <c r="C28" i="71"/>
  <c r="C26" i="71"/>
  <c r="C22" i="71"/>
  <c r="B19" i="71"/>
  <c r="B16" i="71"/>
  <c r="B13" i="71"/>
  <c r="B10" i="71"/>
  <c r="C58" i="71"/>
  <c r="L229" i="83"/>
  <c r="M229" i="83" s="1"/>
  <c r="F48" i="71"/>
  <c r="F35" i="71"/>
  <c r="C33" i="71"/>
  <c r="C36" i="71"/>
  <c r="F42" i="71"/>
  <c r="F31" i="71"/>
  <c r="F34" i="71"/>
  <c r="F24" i="71"/>
  <c r="F18" i="71"/>
  <c r="F5" i="71"/>
  <c r="C51" i="71"/>
  <c r="C44" i="71"/>
  <c r="C40" i="71"/>
  <c r="E6" i="71"/>
  <c r="F45" i="71"/>
  <c r="F46" i="71"/>
  <c r="F21" i="71"/>
  <c r="F17" i="71"/>
  <c r="F6" i="71"/>
  <c r="C45" i="71"/>
  <c r="C30" i="71"/>
  <c r="C5" i="71"/>
  <c r="F51" i="71"/>
  <c r="F37" i="71"/>
  <c r="F32" i="71"/>
  <c r="F10" i="71"/>
  <c r="F16" i="71"/>
  <c r="F13" i="71"/>
  <c r="C43" i="71"/>
  <c r="C48" i="71"/>
  <c r="C20" i="71"/>
  <c r="C42" i="71"/>
  <c r="C31" i="71"/>
  <c r="F40" i="71"/>
  <c r="F29" i="71"/>
  <c r="F12" i="71"/>
  <c r="F7" i="71"/>
  <c r="B6" i="71"/>
  <c r="L3" i="83"/>
  <c r="M3" i="83" s="1"/>
  <c r="L40" i="83"/>
  <c r="M40" i="83" s="1"/>
  <c r="L513" i="83"/>
  <c r="M513" i="83" s="1"/>
  <c r="L203" i="83"/>
  <c r="M203" i="83" s="1"/>
  <c r="L104" i="83"/>
  <c r="M104" i="83" s="1"/>
  <c r="L84" i="83"/>
  <c r="M84" i="83" s="1"/>
  <c r="Q4" i="139" l="1"/>
  <c r="Q8" i="139"/>
  <c r="F2" i="139"/>
  <c r="L113" i="83"/>
  <c r="M113" i="83" s="1"/>
  <c r="M2" i="139"/>
  <c r="I8" i="139"/>
  <c r="J8" i="139"/>
  <c r="K8" i="139" s="1"/>
  <c r="E2" i="139"/>
  <c r="H58" i="71"/>
  <c r="D45" i="71"/>
  <c r="Q53" i="1"/>
  <c r="S76" i="1"/>
  <c r="N4" i="1"/>
  <c r="S6" i="1"/>
  <c r="O4" i="1"/>
  <c r="K4" i="1"/>
  <c r="L217" i="83"/>
  <c r="M217" i="83" s="1"/>
  <c r="L308" i="83"/>
  <c r="M308" i="83" s="1"/>
  <c r="Q81" i="1"/>
  <c r="S77" i="1"/>
  <c r="S69" i="1"/>
  <c r="S55" i="1"/>
  <c r="AD55" i="1"/>
  <c r="AF55" i="1" s="1"/>
  <c r="S64" i="1"/>
  <c r="Q89" i="1"/>
  <c r="R89" i="1"/>
  <c r="R55" i="1"/>
  <c r="Q55" i="1"/>
  <c r="Q77" i="1"/>
  <c r="R77" i="1"/>
  <c r="R73" i="1"/>
  <c r="Q73" i="1"/>
  <c r="R64" i="1"/>
  <c r="R91" i="1"/>
  <c r="Q91" i="1"/>
  <c r="Q42" i="1"/>
  <c r="R67" i="1"/>
  <c r="Q67" i="1"/>
  <c r="R85" i="1"/>
  <c r="Q85" i="1"/>
  <c r="R68" i="1"/>
  <c r="R72" i="1"/>
  <c r="R59" i="1"/>
  <c r="Q59" i="1"/>
  <c r="AC58" i="1"/>
  <c r="AE58" i="1" s="1"/>
  <c r="Q58" i="1"/>
  <c r="R58" i="1"/>
  <c r="R84" i="1"/>
  <c r="R57" i="1"/>
  <c r="Q57" i="1"/>
  <c r="AC57" i="1"/>
  <c r="AE57" i="1" s="1"/>
  <c r="R78" i="1"/>
  <c r="Q78" i="1"/>
  <c r="R87" i="1"/>
  <c r="Q87" i="1"/>
  <c r="R80" i="1"/>
  <c r="Q80" i="1"/>
  <c r="R83" i="1"/>
  <c r="Q83" i="1"/>
  <c r="R60" i="1"/>
  <c r="R76" i="1"/>
  <c r="R66" i="1"/>
  <c r="Q66" i="1"/>
  <c r="R61" i="1"/>
  <c r="Q61" i="1"/>
  <c r="Q86" i="1"/>
  <c r="R86" i="1"/>
  <c r="Q71" i="1"/>
  <c r="R71" i="1"/>
  <c r="R63" i="1"/>
  <c r="Q63" i="1"/>
  <c r="Q70" i="1"/>
  <c r="R70" i="1"/>
  <c r="R92" i="1"/>
  <c r="Q92" i="1"/>
  <c r="R69" i="1"/>
  <c r="R79" i="1"/>
  <c r="Q79" i="1"/>
  <c r="AC79" i="1"/>
  <c r="AE79" i="1" s="1"/>
  <c r="R62" i="1"/>
  <c r="Q62" i="1"/>
  <c r="R65" i="1"/>
  <c r="Q65" i="1"/>
  <c r="R90" i="1"/>
  <c r="Q90" i="1"/>
  <c r="R88" i="1"/>
  <c r="Q75" i="1"/>
  <c r="R75" i="1"/>
  <c r="Q54" i="1"/>
  <c r="R54" i="1"/>
  <c r="R82" i="1"/>
  <c r="Q82" i="1"/>
  <c r="R56" i="1"/>
  <c r="Q74" i="1"/>
  <c r="R74" i="1"/>
  <c r="Q30" i="1"/>
  <c r="Q45" i="1"/>
  <c r="L227" i="83"/>
  <c r="M227" i="83" s="1"/>
  <c r="L280" i="83"/>
  <c r="M280" i="83" s="1"/>
  <c r="L260" i="83"/>
  <c r="M260" i="83" s="1"/>
  <c r="L468" i="83"/>
  <c r="M468" i="83" s="1"/>
  <c r="G14" i="71"/>
  <c r="D19" i="71"/>
  <c r="Q9" i="1"/>
  <c r="Q22" i="1"/>
  <c r="Q25" i="1"/>
  <c r="Q46" i="1"/>
  <c r="Q48" i="1"/>
  <c r="S52" i="1"/>
  <c r="S23" i="1"/>
  <c r="S32" i="1"/>
  <c r="L489" i="83"/>
  <c r="M489" i="83" s="1"/>
  <c r="L201" i="83"/>
  <c r="M201" i="83" s="1"/>
  <c r="L22" i="83"/>
  <c r="M22" i="83" s="1"/>
  <c r="Q43" i="1"/>
  <c r="L210" i="83"/>
  <c r="M210" i="83" s="1"/>
  <c r="L544" i="83"/>
  <c r="M544" i="83" s="1"/>
  <c r="L453" i="83"/>
  <c r="M453" i="83" s="1"/>
  <c r="L521" i="83"/>
  <c r="M521" i="83" s="1"/>
  <c r="G19" i="71"/>
  <c r="L410" i="83"/>
  <c r="M410" i="83" s="1"/>
  <c r="Q51" i="1"/>
  <c r="D9" i="71"/>
  <c r="D14" i="71"/>
  <c r="L200" i="83"/>
  <c r="M200" i="83" s="1"/>
  <c r="D8" i="71"/>
  <c r="D16" i="71"/>
  <c r="O61" i="71"/>
  <c r="L404" i="83"/>
  <c r="M404" i="83" s="1"/>
  <c r="H61" i="71"/>
  <c r="J61" i="71" s="1"/>
  <c r="L327" i="83"/>
  <c r="M327" i="83" s="1"/>
  <c r="L381" i="83"/>
  <c r="M381" i="83" s="1"/>
  <c r="L331" i="83"/>
  <c r="M331" i="83" s="1"/>
  <c r="L537" i="83"/>
  <c r="M537" i="83" s="1"/>
  <c r="L302" i="83"/>
  <c r="M302" i="83" s="1"/>
  <c r="L371" i="83"/>
  <c r="M371" i="83" s="1"/>
  <c r="L454" i="83"/>
  <c r="M454" i="83" s="1"/>
  <c r="L428" i="83"/>
  <c r="M428" i="83" s="1"/>
  <c r="L433" i="83"/>
  <c r="M433" i="83" s="1"/>
  <c r="L458" i="83"/>
  <c r="M458" i="83" s="1"/>
  <c r="L443" i="83"/>
  <c r="M443" i="83" s="1"/>
  <c r="I9" i="71"/>
  <c r="K9" i="71" s="1"/>
  <c r="L324" i="83"/>
  <c r="M324" i="83" s="1"/>
  <c r="D24" i="71"/>
  <c r="H51" i="71"/>
  <c r="J51" i="71" s="1"/>
  <c r="G55" i="71"/>
  <c r="O50" i="71"/>
  <c r="D44" i="71"/>
  <c r="D38" i="71"/>
  <c r="D40" i="71"/>
  <c r="D21" i="71"/>
  <c r="J4" i="139"/>
  <c r="I4" i="139"/>
  <c r="L127" i="83"/>
  <c r="M127" i="83" s="1"/>
  <c r="G32" i="71"/>
  <c r="Q27" i="1"/>
  <c r="L485" i="83"/>
  <c r="M485" i="83" s="1"/>
  <c r="D39" i="71"/>
  <c r="D11" i="71"/>
  <c r="Q41" i="1"/>
  <c r="D17" i="71"/>
  <c r="Q6" i="1"/>
  <c r="G35" i="71"/>
  <c r="Q19" i="1"/>
  <c r="O7" i="139"/>
  <c r="O15" i="139"/>
  <c r="O33" i="139"/>
  <c r="P4" i="139"/>
  <c r="P8" i="139"/>
  <c r="Q36" i="1"/>
  <c r="Q16" i="1"/>
  <c r="D6" i="71"/>
  <c r="D46" i="71"/>
  <c r="D7" i="71"/>
  <c r="Q35" i="1"/>
  <c r="Q31" i="1"/>
  <c r="S84" i="1"/>
  <c r="S88" i="1"/>
  <c r="S10" i="1"/>
  <c r="Q15" i="1"/>
  <c r="S60" i="1"/>
  <c r="S21" i="1"/>
  <c r="S38" i="1"/>
  <c r="Q38" i="1"/>
  <c r="Q29" i="1"/>
  <c r="S24" i="1"/>
  <c r="S68" i="1"/>
  <c r="S40" i="1"/>
  <c r="S28" i="1"/>
  <c r="S33" i="1"/>
  <c r="I10" i="71"/>
  <c r="Q34" i="1"/>
  <c r="H30" i="71"/>
  <c r="R22" i="1"/>
  <c r="R9" i="1"/>
  <c r="R16" i="1"/>
  <c r="D42" i="71"/>
  <c r="G29" i="71"/>
  <c r="I50" i="71"/>
  <c r="K50" i="71" s="1"/>
  <c r="I58" i="71"/>
  <c r="H32" i="71"/>
  <c r="T378" i="1" s="1"/>
  <c r="Q12" i="1"/>
  <c r="H48" i="71"/>
  <c r="H43" i="71"/>
  <c r="I53" i="71"/>
  <c r="U258" i="1" s="1"/>
  <c r="D20" i="71"/>
  <c r="D12" i="71"/>
  <c r="G37" i="71"/>
  <c r="Q50" i="1"/>
  <c r="D18" i="71"/>
  <c r="D34" i="71"/>
  <c r="D48" i="71"/>
  <c r="D13" i="71"/>
  <c r="D43" i="71"/>
  <c r="D30" i="71"/>
  <c r="D37" i="71"/>
  <c r="I14" i="71"/>
  <c r="L108" i="83"/>
  <c r="M108" i="83" s="1"/>
  <c r="G42" i="71"/>
  <c r="H34" i="71"/>
  <c r="Q7" i="1"/>
  <c r="G24" i="71"/>
  <c r="Q49" i="1"/>
  <c r="H18" i="71"/>
  <c r="Q11" i="1"/>
  <c r="R10" i="1"/>
  <c r="R21" i="1"/>
  <c r="Q8" i="1"/>
  <c r="S44" i="1"/>
  <c r="R47" i="1"/>
  <c r="Q17" i="1"/>
  <c r="Q20" i="1"/>
  <c r="Q37" i="1"/>
  <c r="Q26" i="1"/>
  <c r="R26" i="1"/>
  <c r="H5" i="71"/>
  <c r="I17" i="71"/>
  <c r="H7" i="71"/>
  <c r="I19" i="71"/>
  <c r="D15" i="71"/>
  <c r="I32" i="71"/>
  <c r="U378" i="1" s="1"/>
  <c r="I27" i="71"/>
  <c r="G51" i="71"/>
  <c r="G58" i="71"/>
  <c r="I36" i="71"/>
  <c r="I6" i="71"/>
  <c r="I30" i="71"/>
  <c r="H12" i="71"/>
  <c r="H22" i="71"/>
  <c r="I24" i="71"/>
  <c r="I5" i="71"/>
  <c r="H35" i="71"/>
  <c r="T131" i="1" s="1"/>
  <c r="D31" i="71"/>
  <c r="I25" i="71"/>
  <c r="U74" i="1" s="1"/>
  <c r="W74" i="1" s="1"/>
  <c r="N53" i="139" s="1"/>
  <c r="I49" i="71"/>
  <c r="U256" i="1" s="1"/>
  <c r="I46" i="71"/>
  <c r="H27" i="71"/>
  <c r="H47" i="71"/>
  <c r="T255" i="1" s="1"/>
  <c r="H29" i="71"/>
  <c r="H25" i="71"/>
  <c r="T74" i="1" s="1"/>
  <c r="V74" i="1" s="1"/>
  <c r="G53" i="139" s="1"/>
  <c r="I61" i="71"/>
  <c r="K61" i="71" s="1"/>
  <c r="D5" i="71"/>
  <c r="I12" i="71"/>
  <c r="I23" i="71"/>
  <c r="U207" i="1" s="1"/>
  <c r="G44" i="71"/>
  <c r="G43" i="71"/>
  <c r="I44" i="71"/>
  <c r="I26" i="71"/>
  <c r="U83" i="1" s="1"/>
  <c r="W83" i="1" s="1"/>
  <c r="N48" i="139" s="1"/>
  <c r="H52" i="71"/>
  <c r="H57" i="71"/>
  <c r="I43" i="71"/>
  <c r="H38" i="71"/>
  <c r="G21" i="71"/>
  <c r="I55" i="71"/>
  <c r="H41" i="71"/>
  <c r="H55" i="71"/>
  <c r="I7" i="71"/>
  <c r="H8" i="71"/>
  <c r="T347" i="1" s="1"/>
  <c r="L466" i="83"/>
  <c r="M466" i="83" s="1"/>
  <c r="L105" i="83"/>
  <c r="M105" i="83" s="1"/>
  <c r="Q3" i="71"/>
  <c r="I37" i="71"/>
  <c r="G45" i="71"/>
  <c r="H50" i="71"/>
  <c r="J50" i="71" s="1"/>
  <c r="O31" i="139"/>
  <c r="I28" i="71"/>
  <c r="U409" i="1" s="1"/>
  <c r="I29" i="71"/>
  <c r="I57" i="71"/>
  <c r="K57" i="71" s="1"/>
  <c r="H31" i="71"/>
  <c r="H37" i="71"/>
  <c r="H14" i="71"/>
  <c r="H45" i="71"/>
  <c r="I38" i="71"/>
  <c r="H39" i="71"/>
  <c r="I16" i="71"/>
  <c r="H11" i="71"/>
  <c r="I39" i="71"/>
  <c r="H17" i="71"/>
  <c r="H44" i="71"/>
  <c r="H26" i="71"/>
  <c r="T83" i="1" s="1"/>
  <c r="V83" i="1" s="1"/>
  <c r="G48" i="139" s="1"/>
  <c r="H54" i="71"/>
  <c r="T272" i="1" s="1"/>
  <c r="G17" i="71"/>
  <c r="F15" i="71"/>
  <c r="I15" i="71" s="1"/>
  <c r="I20" i="71"/>
  <c r="G38" i="71"/>
  <c r="H60" i="71"/>
  <c r="I34" i="71"/>
  <c r="H24" i="71"/>
  <c r="H49" i="71"/>
  <c r="I56" i="71"/>
  <c r="U270" i="1" s="1"/>
  <c r="G30" i="71"/>
  <c r="H16" i="71"/>
  <c r="I47" i="71"/>
  <c r="U255" i="1" s="1"/>
  <c r="H28" i="71"/>
  <c r="T409" i="1" s="1"/>
  <c r="H36" i="71"/>
  <c r="I59" i="71"/>
  <c r="B3" i="71"/>
  <c r="G31" i="71"/>
  <c r="G7" i="71"/>
  <c r="G5" i="71"/>
  <c r="I21" i="71"/>
  <c r="L263" i="83"/>
  <c r="M263" i="83" s="1"/>
  <c r="H42" i="71"/>
  <c r="H46" i="71"/>
  <c r="H21" i="71"/>
  <c r="I11" i="71"/>
  <c r="H40" i="71"/>
  <c r="H23" i="71"/>
  <c r="H33" i="71"/>
  <c r="I54" i="71"/>
  <c r="U272" i="1" s="1"/>
  <c r="I52" i="71"/>
  <c r="U263" i="1" s="1"/>
  <c r="I60" i="71"/>
  <c r="U269" i="1" s="1"/>
  <c r="H53" i="71"/>
  <c r="I35" i="71"/>
  <c r="I13" i="71"/>
  <c r="I45" i="71"/>
  <c r="I18" i="71"/>
  <c r="G33" i="71"/>
  <c r="G49" i="71"/>
  <c r="L288" i="83"/>
  <c r="M288" i="83" s="1"/>
  <c r="G11" i="71"/>
  <c r="H9" i="71"/>
  <c r="H6" i="71"/>
  <c r="I8" i="71"/>
  <c r="U347" i="1" s="1"/>
  <c r="H10" i="71"/>
  <c r="I41" i="71"/>
  <c r="U387" i="1" s="1"/>
  <c r="H20" i="71"/>
  <c r="G40" i="71"/>
  <c r="G13" i="71"/>
  <c r="G34" i="71"/>
  <c r="E15" i="71"/>
  <c r="H15" i="71" s="1"/>
  <c r="G10" i="71"/>
  <c r="G12" i="71"/>
  <c r="G39" i="71"/>
  <c r="G48" i="71"/>
  <c r="I33" i="71"/>
  <c r="G6" i="71"/>
  <c r="G36" i="71"/>
  <c r="G20" i="71"/>
  <c r="I48" i="71"/>
  <c r="H19" i="71"/>
  <c r="J19" i="71" s="1"/>
  <c r="L467" i="83"/>
  <c r="M467" i="83" s="1"/>
  <c r="G16" i="71"/>
  <c r="G46" i="71"/>
  <c r="L545" i="83"/>
  <c r="M545" i="83" s="1"/>
  <c r="G28" i="71"/>
  <c r="L295" i="83"/>
  <c r="M295" i="83" s="1"/>
  <c r="O5" i="139"/>
  <c r="H13" i="71"/>
  <c r="O10" i="139"/>
  <c r="G18" i="71"/>
  <c r="H56" i="71"/>
  <c r="T270" i="1" s="1"/>
  <c r="I31" i="71"/>
  <c r="I51" i="71"/>
  <c r="I40" i="71"/>
  <c r="I42" i="71"/>
  <c r="I22" i="71"/>
  <c r="U321" i="1" s="1"/>
  <c r="C3" i="71"/>
  <c r="R8" i="139" l="1"/>
  <c r="K4" i="139"/>
  <c r="R4" i="139"/>
  <c r="D2" i="139"/>
  <c r="T11" i="1"/>
  <c r="Q52" i="1"/>
  <c r="Q76" i="1"/>
  <c r="Q64" i="1"/>
  <c r="P4" i="1"/>
  <c r="W256" i="1"/>
  <c r="Q32" i="1"/>
  <c r="Q69" i="1"/>
  <c r="S72" i="1"/>
  <c r="AD72" i="1"/>
  <c r="AF72" i="1" s="1"/>
  <c r="S56" i="1"/>
  <c r="AD56" i="1"/>
  <c r="AF56" i="1" s="1"/>
  <c r="AG56" i="1" s="1"/>
  <c r="AB56" i="1" s="1"/>
  <c r="Q88" i="1"/>
  <c r="Q56" i="1"/>
  <c r="Q72" i="1"/>
  <c r="Q84" i="1"/>
  <c r="Q60" i="1"/>
  <c r="Q68" i="1"/>
  <c r="W378" i="1"/>
  <c r="T398" i="1"/>
  <c r="T244" i="1"/>
  <c r="T66" i="1"/>
  <c r="V66" i="1" s="1"/>
  <c r="T404" i="1"/>
  <c r="T396" i="1"/>
  <c r="T73" i="1"/>
  <c r="V73" i="1" s="1"/>
  <c r="T195" i="1"/>
  <c r="T252" i="1"/>
  <c r="T397" i="1"/>
  <c r="T363" i="1"/>
  <c r="T164" i="1"/>
  <c r="T355" i="1"/>
  <c r="T201" i="1"/>
  <c r="T213" i="1"/>
  <c r="T171" i="1"/>
  <c r="T180" i="1"/>
  <c r="T168" i="1"/>
  <c r="U206" i="1"/>
  <c r="U240" i="1"/>
  <c r="U208" i="1"/>
  <c r="U176" i="1"/>
  <c r="U332" i="1"/>
  <c r="U204" i="1"/>
  <c r="U380" i="1"/>
  <c r="U210" i="1"/>
  <c r="U202" i="1"/>
  <c r="U219" i="1"/>
  <c r="U211" i="1"/>
  <c r="U185" i="1"/>
  <c r="U214" i="1"/>
  <c r="U186" i="1"/>
  <c r="U203" i="1"/>
  <c r="U217" i="1"/>
  <c r="U220" i="1"/>
  <c r="U178" i="1"/>
  <c r="U209" i="1"/>
  <c r="U212" i="1"/>
  <c r="J53" i="71"/>
  <c r="T258" i="1"/>
  <c r="T126" i="1"/>
  <c r="T228" i="1"/>
  <c r="T130" i="1"/>
  <c r="U165" i="1"/>
  <c r="U257" i="1"/>
  <c r="U241" i="1"/>
  <c r="U253" i="1"/>
  <c r="U234" i="1"/>
  <c r="U283" i="1"/>
  <c r="U377" i="1"/>
  <c r="T381" i="1"/>
  <c r="T173" i="1"/>
  <c r="T319" i="1"/>
  <c r="U173" i="1"/>
  <c r="U381" i="1"/>
  <c r="U319" i="1"/>
  <c r="T88" i="1"/>
  <c r="V88" i="1" s="1"/>
  <c r="T281" i="1"/>
  <c r="T261" i="1"/>
  <c r="T250" i="1"/>
  <c r="T75" i="1"/>
  <c r="V75" i="1" s="1"/>
  <c r="T237" i="1"/>
  <c r="T76" i="1"/>
  <c r="V76" i="1" s="1"/>
  <c r="W207" i="1"/>
  <c r="N60" i="139" s="1"/>
  <c r="X74" i="1"/>
  <c r="AC74" i="1"/>
  <c r="AE74" i="1" s="1"/>
  <c r="H53" i="139" s="1"/>
  <c r="J53" i="139" s="1"/>
  <c r="K53" i="139" s="1"/>
  <c r="J12" i="71"/>
  <c r="T60" i="1"/>
  <c r="V60" i="1" s="1"/>
  <c r="T339" i="1"/>
  <c r="T59" i="1"/>
  <c r="V59" i="1" s="1"/>
  <c r="T214" i="1"/>
  <c r="T208" i="1"/>
  <c r="T380" i="1"/>
  <c r="T220" i="1"/>
  <c r="T210" i="1"/>
  <c r="T178" i="1"/>
  <c r="T219" i="1"/>
  <c r="T217" i="1"/>
  <c r="T185" i="1"/>
  <c r="T212" i="1"/>
  <c r="T332" i="1"/>
  <c r="T204" i="1"/>
  <c r="T202" i="1"/>
  <c r="T240" i="1"/>
  <c r="T211" i="1"/>
  <c r="T206" i="1"/>
  <c r="T186" i="1"/>
  <c r="T176" i="1"/>
  <c r="T203" i="1"/>
  <c r="T209" i="1"/>
  <c r="T359" i="1"/>
  <c r="T146" i="1"/>
  <c r="T232" i="1"/>
  <c r="T375" i="1"/>
  <c r="T279" i="1"/>
  <c r="T151" i="1"/>
  <c r="T349" i="1"/>
  <c r="T92" i="1"/>
  <c r="V92" i="1" s="1"/>
  <c r="T403" i="1"/>
  <c r="T147" i="1"/>
  <c r="T161" i="1"/>
  <c r="T400" i="1"/>
  <c r="T145" i="1"/>
  <c r="T205" i="1"/>
  <c r="T106" i="1"/>
  <c r="T356" i="1"/>
  <c r="T277" i="1"/>
  <c r="T243" i="1"/>
  <c r="T134" i="1"/>
  <c r="T346" i="1"/>
  <c r="U261" i="1"/>
  <c r="U250" i="1"/>
  <c r="U75" i="1"/>
  <c r="W75" i="1" s="1"/>
  <c r="U281" i="1"/>
  <c r="U237" i="1"/>
  <c r="U76" i="1"/>
  <c r="W76" i="1" s="1"/>
  <c r="U88" i="1"/>
  <c r="W88" i="1" s="1"/>
  <c r="W269" i="1"/>
  <c r="N7" i="139" s="1"/>
  <c r="J23" i="71"/>
  <c r="T207" i="1"/>
  <c r="T230" i="1"/>
  <c r="T315" i="1"/>
  <c r="T408" i="1"/>
  <c r="T133" i="1"/>
  <c r="T224" i="1"/>
  <c r="U302" i="1"/>
  <c r="U125" i="1"/>
  <c r="J55" i="71"/>
  <c r="T274" i="1"/>
  <c r="T262" i="1"/>
  <c r="T267" i="1"/>
  <c r="T265" i="1"/>
  <c r="T266" i="1"/>
  <c r="U344" i="1"/>
  <c r="U117" i="1"/>
  <c r="U231" i="1"/>
  <c r="J29" i="71"/>
  <c r="T64" i="1"/>
  <c r="V64" i="1" s="1"/>
  <c r="T291" i="1"/>
  <c r="U350" i="1"/>
  <c r="U144" i="1"/>
  <c r="U112" i="1"/>
  <c r="U389" i="1"/>
  <c r="U70" i="1"/>
  <c r="W70" i="1" s="1"/>
  <c r="U323" i="1"/>
  <c r="U322" i="1"/>
  <c r="U390" i="1"/>
  <c r="U152" i="1"/>
  <c r="U406" i="1"/>
  <c r="U392" i="1"/>
  <c r="U324" i="1"/>
  <c r="U78" i="1"/>
  <c r="W78" i="1" s="1"/>
  <c r="U402" i="1"/>
  <c r="U393" i="1"/>
  <c r="U142" i="1"/>
  <c r="U308" i="1"/>
  <c r="U391" i="1"/>
  <c r="U383" i="1"/>
  <c r="U275" i="1"/>
  <c r="T248" i="1"/>
  <c r="T136" i="1"/>
  <c r="T167" i="1"/>
  <c r="T135" i="1"/>
  <c r="T103" i="1"/>
  <c r="T188" i="1"/>
  <c r="T407" i="1"/>
  <c r="T247" i="1"/>
  <c r="T189" i="1"/>
  <c r="T157" i="1"/>
  <c r="T251" i="1"/>
  <c r="T187" i="1"/>
  <c r="T216" i="1"/>
  <c r="T141" i="1"/>
  <c r="T235" i="1"/>
  <c r="T100" i="1"/>
  <c r="T55" i="1"/>
  <c r="V55" i="1" s="1"/>
  <c r="T162" i="1"/>
  <c r="T159" i="1"/>
  <c r="T179" i="1"/>
  <c r="T139" i="1"/>
  <c r="T97" i="1"/>
  <c r="T333" i="1"/>
  <c r="T245" i="1"/>
  <c r="T225" i="1"/>
  <c r="T98" i="1"/>
  <c r="T56" i="1"/>
  <c r="V56" i="1" s="1"/>
  <c r="T140" i="1"/>
  <c r="T101" i="1"/>
  <c r="T226" i="1"/>
  <c r="T99" i="1"/>
  <c r="T177" i="1"/>
  <c r="T137" i="1"/>
  <c r="T96" i="1"/>
  <c r="T190" i="1"/>
  <c r="T95" i="1"/>
  <c r="T138" i="1"/>
  <c r="T175" i="1"/>
  <c r="T54" i="1"/>
  <c r="V54" i="1" s="1"/>
  <c r="J59" i="71"/>
  <c r="T273" i="1"/>
  <c r="W270" i="1"/>
  <c r="N10" i="139" s="1"/>
  <c r="V347" i="1"/>
  <c r="AD74" i="1"/>
  <c r="AF74" i="1" s="1"/>
  <c r="U318" i="1"/>
  <c r="U296" i="1"/>
  <c r="U301" i="1"/>
  <c r="U316" i="1"/>
  <c r="U317" i="1"/>
  <c r="U297" i="1"/>
  <c r="U126" i="1"/>
  <c r="U130" i="1"/>
  <c r="U228" i="1"/>
  <c r="T156" i="1"/>
  <c r="T158" i="1"/>
  <c r="T221" i="1"/>
  <c r="T62" i="1"/>
  <c r="V62" i="1" s="1"/>
  <c r="T155" i="1"/>
  <c r="T313" i="1"/>
  <c r="T238" i="1"/>
  <c r="T360" i="1"/>
  <c r="T85" i="1"/>
  <c r="V85" i="1" s="1"/>
  <c r="T298" i="1"/>
  <c r="T80" i="1"/>
  <c r="V80" i="1" s="1"/>
  <c r="T290" i="1"/>
  <c r="T166" i="1"/>
  <c r="T192" i="1"/>
  <c r="T150" i="1"/>
  <c r="T364" i="1"/>
  <c r="T236" i="1"/>
  <c r="T108" i="1"/>
  <c r="T194" i="1"/>
  <c r="T154" i="1"/>
  <c r="T361" i="1"/>
  <c r="T105" i="1"/>
  <c r="T384" i="1"/>
  <c r="T191" i="1"/>
  <c r="T373" i="1"/>
  <c r="T148" i="1"/>
  <c r="T299" i="1"/>
  <c r="T84" i="1"/>
  <c r="V84" i="1" s="1"/>
  <c r="T362" i="1"/>
  <c r="T376" i="1"/>
  <c r="T184" i="1"/>
  <c r="T371" i="1"/>
  <c r="T172" i="1"/>
  <c r="W272" i="1"/>
  <c r="N15" i="139" s="1"/>
  <c r="K11" i="71"/>
  <c r="U67" i="1"/>
  <c r="W67" i="1" s="1"/>
  <c r="U65" i="1"/>
  <c r="W65" i="1" s="1"/>
  <c r="U69" i="1"/>
  <c r="W69" i="1" s="1"/>
  <c r="U379" i="1"/>
  <c r="U314" i="1"/>
  <c r="U311" i="1"/>
  <c r="U169" i="1"/>
  <c r="U312" i="1"/>
  <c r="U87" i="1"/>
  <c r="W87" i="1" s="1"/>
  <c r="U170" i="1"/>
  <c r="K59" i="71"/>
  <c r="U273" i="1"/>
  <c r="J49" i="71"/>
  <c r="T256" i="1"/>
  <c r="X83" i="1"/>
  <c r="AC83" i="1"/>
  <c r="AE83" i="1" s="1"/>
  <c r="H48" i="139" s="1"/>
  <c r="J48" i="139" s="1"/>
  <c r="K48" i="139" s="1"/>
  <c r="T358" i="1"/>
  <c r="T294" i="1"/>
  <c r="T72" i="1"/>
  <c r="V72" i="1" s="1"/>
  <c r="T71" i="1"/>
  <c r="V71" i="1" s="1"/>
  <c r="T412" i="1"/>
  <c r="T348" i="1"/>
  <c r="T61" i="1"/>
  <c r="V61" i="1" s="1"/>
  <c r="T114" i="1"/>
  <c r="T89" i="1"/>
  <c r="V89" i="1" s="1"/>
  <c r="T343" i="1"/>
  <c r="T411" i="1"/>
  <c r="T153" i="1"/>
  <c r="T58" i="1"/>
  <c r="V58" i="1" s="1"/>
  <c r="T286" i="1"/>
  <c r="T334" i="1"/>
  <c r="T254" i="1"/>
  <c r="T335" i="1"/>
  <c r="T292" i="1"/>
  <c r="T77" i="1"/>
  <c r="V77" i="1" s="1"/>
  <c r="T227" i="1"/>
  <c r="T113" i="1"/>
  <c r="T57" i="1"/>
  <c r="V57" i="1" s="1"/>
  <c r="T287" i="1"/>
  <c r="T341" i="1"/>
  <c r="T336" i="1"/>
  <c r="T239" i="1"/>
  <c r="T63" i="1"/>
  <c r="V63" i="1" s="1"/>
  <c r="T196" i="1"/>
  <c r="T259" i="1"/>
  <c r="T410" i="1"/>
  <c r="T282" i="1"/>
  <c r="T288" i="1"/>
  <c r="T276" i="1"/>
  <c r="T353" i="1"/>
  <c r="T280" i="1"/>
  <c r="T102" i="1"/>
  <c r="T354" i="1"/>
  <c r="T351" i="1"/>
  <c r="T223" i="1"/>
  <c r="T405" i="1"/>
  <c r="T109" i="1"/>
  <c r="T229" i="1"/>
  <c r="T300" i="1"/>
  <c r="T260" i="1"/>
  <c r="T386" i="1"/>
  <c r="T218" i="1"/>
  <c r="J41" i="71"/>
  <c r="T387" i="1"/>
  <c r="U60" i="1"/>
  <c r="W60" i="1" s="1"/>
  <c r="U339" i="1"/>
  <c r="U59" i="1"/>
  <c r="W59" i="1" s="1"/>
  <c r="V255" i="1"/>
  <c r="V131" i="1"/>
  <c r="U158" i="1"/>
  <c r="U238" i="1"/>
  <c r="U376" i="1"/>
  <c r="U192" i="1"/>
  <c r="U364" i="1"/>
  <c r="U236" i="1"/>
  <c r="U172" i="1"/>
  <c r="U108" i="1"/>
  <c r="U290" i="1"/>
  <c r="U194" i="1"/>
  <c r="U80" i="1"/>
  <c r="W80" i="1" s="1"/>
  <c r="U221" i="1"/>
  <c r="U166" i="1"/>
  <c r="U156" i="1"/>
  <c r="U154" i="1"/>
  <c r="U361" i="1"/>
  <c r="U105" i="1"/>
  <c r="U384" i="1"/>
  <c r="U191" i="1"/>
  <c r="U373" i="1"/>
  <c r="U148" i="1"/>
  <c r="U299" i="1"/>
  <c r="U84" i="1"/>
  <c r="W84" i="1" s="1"/>
  <c r="U362" i="1"/>
  <c r="U313" i="1"/>
  <c r="U184" i="1"/>
  <c r="U150" i="1"/>
  <c r="U371" i="1"/>
  <c r="U62" i="1"/>
  <c r="W62" i="1" s="1"/>
  <c r="U155" i="1"/>
  <c r="U360" i="1"/>
  <c r="U85" i="1"/>
  <c r="W85" i="1" s="1"/>
  <c r="U298" i="1"/>
  <c r="V378" i="1"/>
  <c r="J58" i="71"/>
  <c r="T268" i="1"/>
  <c r="T81" i="1"/>
  <c r="V81" i="1" s="1"/>
  <c r="T120" i="1"/>
  <c r="T82" i="1"/>
  <c r="V82" i="1" s="1"/>
  <c r="W321" i="1"/>
  <c r="N35" i="139" s="1"/>
  <c r="W263" i="1"/>
  <c r="N33" i="139" s="1"/>
  <c r="T329" i="1"/>
  <c r="T399" i="1"/>
  <c r="T143" i="1"/>
  <c r="U329" i="1"/>
  <c r="U399" i="1"/>
  <c r="U143" i="1"/>
  <c r="T326" i="1"/>
  <c r="T327" i="1"/>
  <c r="T285" i="1"/>
  <c r="T249" i="1"/>
  <c r="T246" i="1"/>
  <c r="T395" i="1"/>
  <c r="T382" i="1"/>
  <c r="T328" i="1"/>
  <c r="T325" i="1"/>
  <c r="T394" i="1"/>
  <c r="T388" i="1"/>
  <c r="T68" i="1"/>
  <c r="V68" i="1" s="1"/>
  <c r="T253" i="1"/>
  <c r="T283" i="1"/>
  <c r="T377" i="1"/>
  <c r="T241" i="1"/>
  <c r="T165" i="1"/>
  <c r="T234" i="1"/>
  <c r="T257" i="1"/>
  <c r="T295" i="1"/>
  <c r="T119" i="1"/>
  <c r="T123" i="1"/>
  <c r="T86" i="1"/>
  <c r="V86" i="1" s="1"/>
  <c r="J24" i="71"/>
  <c r="T284" i="1"/>
  <c r="T182" i="1"/>
  <c r="T330" i="1"/>
  <c r="T401" i="1"/>
  <c r="T231" i="1"/>
  <c r="T344" i="1"/>
  <c r="T117" i="1"/>
  <c r="U310" i="1"/>
  <c r="U79" i="1"/>
  <c r="W79" i="1" s="1"/>
  <c r="U116" i="1"/>
  <c r="U118" i="1"/>
  <c r="U242" i="1"/>
  <c r="U271" i="1"/>
  <c r="U331" i="1"/>
  <c r="U115" i="1"/>
  <c r="U320" i="1"/>
  <c r="U309" i="1"/>
  <c r="J52" i="71"/>
  <c r="T263" i="1"/>
  <c r="U97" i="1"/>
  <c r="U100" i="1"/>
  <c r="U225" i="1"/>
  <c r="U98" i="1"/>
  <c r="U190" i="1"/>
  <c r="U56" i="1"/>
  <c r="W56" i="1" s="1"/>
  <c r="U95" i="1"/>
  <c r="U140" i="1"/>
  <c r="U226" i="1"/>
  <c r="U162" i="1"/>
  <c r="U99" i="1"/>
  <c r="U167" i="1"/>
  <c r="U54" i="1"/>
  <c r="W54" i="1" s="1"/>
  <c r="U187" i="1"/>
  <c r="U247" i="1"/>
  <c r="U159" i="1"/>
  <c r="U179" i="1"/>
  <c r="U139" i="1"/>
  <c r="U248" i="1"/>
  <c r="U407" i="1"/>
  <c r="U333" i="1"/>
  <c r="U245" i="1"/>
  <c r="U136" i="1"/>
  <c r="U103" i="1"/>
  <c r="U55" i="1"/>
  <c r="W55" i="1" s="1"/>
  <c r="U157" i="1"/>
  <c r="U188" i="1"/>
  <c r="U101" i="1"/>
  <c r="U251" i="1"/>
  <c r="U177" i="1"/>
  <c r="U137" i="1"/>
  <c r="U96" i="1"/>
  <c r="U138" i="1"/>
  <c r="U175" i="1"/>
  <c r="U135" i="1"/>
  <c r="U189" i="1"/>
  <c r="U216" i="1"/>
  <c r="U141" i="1"/>
  <c r="U235" i="1"/>
  <c r="W258" i="1"/>
  <c r="N13" i="139" s="1"/>
  <c r="K58" i="71"/>
  <c r="U268" i="1"/>
  <c r="U168" i="1"/>
  <c r="U355" i="1"/>
  <c r="U252" i="1"/>
  <c r="U164" i="1"/>
  <c r="U201" i="1"/>
  <c r="U213" i="1"/>
  <c r="U171" i="1"/>
  <c r="U180" i="1"/>
  <c r="U397" i="1"/>
  <c r="U363" i="1"/>
  <c r="U81" i="1"/>
  <c r="W81" i="1" s="1"/>
  <c r="U120" i="1"/>
  <c r="U82" i="1"/>
  <c r="W82" i="1" s="1"/>
  <c r="V270" i="1"/>
  <c r="T366" i="1"/>
  <c r="T93" i="1"/>
  <c r="T370" i="1"/>
  <c r="T338" i="1"/>
  <c r="T215" i="1"/>
  <c r="T183" i="1"/>
  <c r="T94" i="1"/>
  <c r="T345" i="1"/>
  <c r="T90" i="1"/>
  <c r="V90" i="1" s="1"/>
  <c r="T342" i="1"/>
  <c r="T340" i="1"/>
  <c r="T107" i="1"/>
  <c r="T369" i="1"/>
  <c r="T200" i="1"/>
  <c r="T104" i="1"/>
  <c r="T372" i="1"/>
  <c r="T193" i="1"/>
  <c r="T367" i="1"/>
  <c r="T111" i="1"/>
  <c r="T233" i="1"/>
  <c r="T374" i="1"/>
  <c r="T110" i="1"/>
  <c r="T278" i="1"/>
  <c r="T163" i="1"/>
  <c r="T368" i="1"/>
  <c r="T365" i="1"/>
  <c r="T149" i="1"/>
  <c r="T385" i="1"/>
  <c r="T129" i="1"/>
  <c r="T357" i="1"/>
  <c r="T91" i="1"/>
  <c r="V91" i="1" s="1"/>
  <c r="T199" i="1"/>
  <c r="T121" i="1"/>
  <c r="T127" i="1"/>
  <c r="T303" i="1"/>
  <c r="U382" i="1"/>
  <c r="U325" i="1"/>
  <c r="U68" i="1"/>
  <c r="W68" i="1" s="1"/>
  <c r="U246" i="1"/>
  <c r="U326" i="1"/>
  <c r="U395" i="1"/>
  <c r="U327" i="1"/>
  <c r="U328" i="1"/>
  <c r="U285" i="1"/>
  <c r="U394" i="1"/>
  <c r="U388" i="1"/>
  <c r="U249" i="1"/>
  <c r="T306" i="1"/>
  <c r="T304" i="1"/>
  <c r="T352" i="1"/>
  <c r="T307" i="1"/>
  <c r="T222" i="1"/>
  <c r="T305" i="1"/>
  <c r="U291" i="1"/>
  <c r="U64" i="1"/>
  <c r="W64" i="1" s="1"/>
  <c r="K55" i="71"/>
  <c r="U274" i="1"/>
  <c r="AD83" i="1"/>
  <c r="AF83" i="1" s="1"/>
  <c r="U295" i="1"/>
  <c r="U119" i="1"/>
  <c r="U86" i="1"/>
  <c r="W86" i="1" s="1"/>
  <c r="U123" i="1"/>
  <c r="J7" i="71"/>
  <c r="T320" i="1"/>
  <c r="T242" i="1"/>
  <c r="T309" i="1"/>
  <c r="T118" i="1"/>
  <c r="T79" i="1"/>
  <c r="V79" i="1" s="1"/>
  <c r="T116" i="1"/>
  <c r="T310" i="1"/>
  <c r="T271" i="1"/>
  <c r="T331" i="1"/>
  <c r="T115" i="1"/>
  <c r="T124" i="1"/>
  <c r="T289" i="1"/>
  <c r="T122" i="1"/>
  <c r="T293" i="1"/>
  <c r="T128" i="1"/>
  <c r="T264" i="1"/>
  <c r="T132" i="1"/>
  <c r="T337" i="1"/>
  <c r="T198" i="1"/>
  <c r="T174" i="1"/>
  <c r="T160" i="1"/>
  <c r="T181" i="1"/>
  <c r="T197" i="1"/>
  <c r="V272" i="1"/>
  <c r="T125" i="1"/>
  <c r="T302" i="1"/>
  <c r="U197" i="1"/>
  <c r="U160" i="1"/>
  <c r="U174" i="1"/>
  <c r="U198" i="1"/>
  <c r="U181" i="1"/>
  <c r="U286" i="1"/>
  <c r="U254" i="1"/>
  <c r="U334" i="1"/>
  <c r="U336" i="1"/>
  <c r="U280" i="1"/>
  <c r="U102" i="1"/>
  <c r="U229" i="1"/>
  <c r="U259" i="1"/>
  <c r="U227" i="1"/>
  <c r="U353" i="1"/>
  <c r="U294" i="1"/>
  <c r="U63" i="1"/>
  <c r="W63" i="1" s="1"/>
  <c r="U300" i="1"/>
  <c r="U77" i="1"/>
  <c r="W77" i="1" s="1"/>
  <c r="U386" i="1"/>
  <c r="U354" i="1"/>
  <c r="U335" i="1"/>
  <c r="U292" i="1"/>
  <c r="U113" i="1"/>
  <c r="U57" i="1"/>
  <c r="W57" i="1" s="1"/>
  <c r="U287" i="1"/>
  <c r="U341" i="1"/>
  <c r="U153" i="1"/>
  <c r="U239" i="1"/>
  <c r="U72" i="1"/>
  <c r="W72" i="1" s="1"/>
  <c r="U71" i="1"/>
  <c r="W71" i="1" s="1"/>
  <c r="U412" i="1"/>
  <c r="U196" i="1"/>
  <c r="U410" i="1"/>
  <c r="U282" i="1"/>
  <c r="U114" i="1"/>
  <c r="U288" i="1"/>
  <c r="U276" i="1"/>
  <c r="U58" i="1"/>
  <c r="W58" i="1" s="1"/>
  <c r="U89" i="1"/>
  <c r="W89" i="1" s="1"/>
  <c r="U61" i="1"/>
  <c r="W61" i="1" s="1"/>
  <c r="U351" i="1"/>
  <c r="U223" i="1"/>
  <c r="U405" i="1"/>
  <c r="U109" i="1"/>
  <c r="U358" i="1"/>
  <c r="U348" i="1"/>
  <c r="U260" i="1"/>
  <c r="U411" i="1"/>
  <c r="U218" i="1"/>
  <c r="U343" i="1"/>
  <c r="U400" i="1"/>
  <c r="U134" i="1"/>
  <c r="U161" i="1"/>
  <c r="U349" i="1"/>
  <c r="U375" i="1"/>
  <c r="U92" i="1"/>
  <c r="W92" i="1" s="1"/>
  <c r="U145" i="1"/>
  <c r="U279" i="1"/>
  <c r="U151" i="1"/>
  <c r="U205" i="1"/>
  <c r="U106" i="1"/>
  <c r="U232" i="1"/>
  <c r="U359" i="1"/>
  <c r="U356" i="1"/>
  <c r="U146" i="1"/>
  <c r="U277" i="1"/>
  <c r="U243" i="1"/>
  <c r="U346" i="1"/>
  <c r="U403" i="1"/>
  <c r="U147" i="1"/>
  <c r="K35" i="71"/>
  <c r="U131" i="1"/>
  <c r="T316" i="1"/>
  <c r="T317" i="1"/>
  <c r="T318" i="1"/>
  <c r="T296" i="1"/>
  <c r="T301" i="1"/>
  <c r="T297" i="1"/>
  <c r="V409" i="1"/>
  <c r="U293" i="1"/>
  <c r="U289" i="1"/>
  <c r="U264" i="1"/>
  <c r="U124" i="1"/>
  <c r="U122" i="1"/>
  <c r="U128" i="1"/>
  <c r="U132" i="1"/>
  <c r="U337" i="1"/>
  <c r="U133" i="1"/>
  <c r="U315" i="1"/>
  <c r="U230" i="1"/>
  <c r="U224" i="1"/>
  <c r="U408" i="1"/>
  <c r="W409" i="1"/>
  <c r="N22" i="139" s="1"/>
  <c r="U199" i="1"/>
  <c r="U303" i="1"/>
  <c r="U127" i="1"/>
  <c r="U121" i="1"/>
  <c r="K24" i="71"/>
  <c r="U330" i="1"/>
  <c r="U284" i="1"/>
  <c r="U401" i="1"/>
  <c r="U182" i="1"/>
  <c r="W347" i="1"/>
  <c r="N44" i="139" s="1"/>
  <c r="U366" i="1"/>
  <c r="U368" i="1"/>
  <c r="U357" i="1"/>
  <c r="U163" i="1"/>
  <c r="U385" i="1"/>
  <c r="U193" i="1"/>
  <c r="U129" i="1"/>
  <c r="U342" i="1"/>
  <c r="U94" i="1"/>
  <c r="U338" i="1"/>
  <c r="U369" i="1"/>
  <c r="U200" i="1"/>
  <c r="U104" i="1"/>
  <c r="U372" i="1"/>
  <c r="U367" i="1"/>
  <c r="U111" i="1"/>
  <c r="U370" i="1"/>
  <c r="U233" i="1"/>
  <c r="U110" i="1"/>
  <c r="U374" i="1"/>
  <c r="U183" i="1"/>
  <c r="U365" i="1"/>
  <c r="U149" i="1"/>
  <c r="U345" i="1"/>
  <c r="U90" i="1"/>
  <c r="W90" i="1" s="1"/>
  <c r="U278" i="1"/>
  <c r="U93" i="1"/>
  <c r="U91" i="1"/>
  <c r="W91" i="1" s="1"/>
  <c r="U215" i="1"/>
  <c r="U340" i="1"/>
  <c r="U107" i="1"/>
  <c r="W387" i="1"/>
  <c r="N59" i="139" s="1"/>
  <c r="W255" i="1"/>
  <c r="N31" i="139" s="1"/>
  <c r="J60" i="71"/>
  <c r="T269" i="1"/>
  <c r="U398" i="1"/>
  <c r="U195" i="1"/>
  <c r="U66" i="1"/>
  <c r="W66" i="1" s="1"/>
  <c r="U396" i="1"/>
  <c r="U244" i="1"/>
  <c r="U404" i="1"/>
  <c r="U73" i="1"/>
  <c r="W73" i="1" s="1"/>
  <c r="T65" i="1"/>
  <c r="V65" i="1" s="1"/>
  <c r="T311" i="1"/>
  <c r="T379" i="1"/>
  <c r="T312" i="1"/>
  <c r="T170" i="1"/>
  <c r="T69" i="1"/>
  <c r="V69" i="1" s="1"/>
  <c r="T67" i="1"/>
  <c r="V67" i="1" s="1"/>
  <c r="T87" i="1"/>
  <c r="V87" i="1" s="1"/>
  <c r="T314" i="1"/>
  <c r="T169" i="1"/>
  <c r="K38" i="71"/>
  <c r="U262" i="1"/>
  <c r="U267" i="1"/>
  <c r="U265" i="1"/>
  <c r="U266" i="1"/>
  <c r="J22" i="71"/>
  <c r="T321" i="1"/>
  <c r="K17" i="71"/>
  <c r="U222" i="1"/>
  <c r="U304" i="1"/>
  <c r="U352" i="1"/>
  <c r="U307" i="1"/>
  <c r="U305" i="1"/>
  <c r="U306" i="1"/>
  <c r="T390" i="1"/>
  <c r="T392" i="1"/>
  <c r="T391" i="1"/>
  <c r="T402" i="1"/>
  <c r="T112" i="1"/>
  <c r="T383" i="1"/>
  <c r="T275" i="1"/>
  <c r="T406" i="1"/>
  <c r="T389" i="1"/>
  <c r="T152" i="1"/>
  <c r="T144" i="1"/>
  <c r="T324" i="1"/>
  <c r="T322" i="1"/>
  <c r="T78" i="1"/>
  <c r="V78" i="1" s="1"/>
  <c r="T70" i="1"/>
  <c r="V70" i="1" s="1"/>
  <c r="T393" i="1"/>
  <c r="T142" i="1"/>
  <c r="T308" i="1"/>
  <c r="T350" i="1"/>
  <c r="T323" i="1"/>
  <c r="Q23" i="1"/>
  <c r="Q44" i="1"/>
  <c r="Q10" i="1"/>
  <c r="Q40" i="1"/>
  <c r="Q28" i="1"/>
  <c r="S18" i="1"/>
  <c r="Q18" i="1"/>
  <c r="Q24" i="1"/>
  <c r="T22" i="1"/>
  <c r="V22" i="1" s="1"/>
  <c r="U50" i="1"/>
  <c r="W50" i="1" s="1"/>
  <c r="T36" i="1"/>
  <c r="V36" i="1" s="1"/>
  <c r="U29" i="1"/>
  <c r="T44" i="1"/>
  <c r="V44" i="1" s="1"/>
  <c r="T42" i="1"/>
  <c r="V42" i="1" s="1"/>
  <c r="T26" i="1"/>
  <c r="V26" i="1" s="1"/>
  <c r="G29" i="139" s="1"/>
  <c r="U23" i="1"/>
  <c r="W23" i="1" s="1"/>
  <c r="U22" i="1"/>
  <c r="W22" i="1" s="1"/>
  <c r="U15" i="1"/>
  <c r="U27" i="1"/>
  <c r="U11" i="1"/>
  <c r="W11" i="1" s="1"/>
  <c r="T12" i="1"/>
  <c r="V12" i="1" s="1"/>
  <c r="T9" i="1"/>
  <c r="V9" i="1" s="1"/>
  <c r="U9" i="1"/>
  <c r="J18" i="71"/>
  <c r="U32" i="1"/>
  <c r="W32" i="1" s="1"/>
  <c r="L61" i="71"/>
  <c r="P61" i="71" s="1"/>
  <c r="T29" i="1"/>
  <c r="V29" i="1" s="1"/>
  <c r="U44" i="1"/>
  <c r="U49" i="1"/>
  <c r="U41" i="1"/>
  <c r="W41" i="1" s="1"/>
  <c r="K19" i="71"/>
  <c r="L19" i="71" s="1"/>
  <c r="K12" i="71"/>
  <c r="U16" i="1"/>
  <c r="W16" i="1" s="1"/>
  <c r="J32" i="71"/>
  <c r="K53" i="71"/>
  <c r="L53" i="71" s="1"/>
  <c r="K60" i="71"/>
  <c r="K14" i="71"/>
  <c r="J54" i="71"/>
  <c r="K25" i="71"/>
  <c r="J8" i="71"/>
  <c r="J30" i="71"/>
  <c r="J43" i="71"/>
  <c r="K36" i="71"/>
  <c r="K28" i="71"/>
  <c r="K27" i="71"/>
  <c r="T48" i="1"/>
  <c r="J57" i="71"/>
  <c r="L57" i="71" s="1"/>
  <c r="J38" i="71"/>
  <c r="J16" i="71"/>
  <c r="K32" i="71"/>
  <c r="K20" i="71"/>
  <c r="J17" i="71"/>
  <c r="K46" i="71"/>
  <c r="U18" i="1"/>
  <c r="J36" i="71"/>
  <c r="K39" i="71"/>
  <c r="O27" i="139"/>
  <c r="O11" i="139"/>
  <c r="T17" i="1"/>
  <c r="V17" i="1" s="1"/>
  <c r="T8" i="1"/>
  <c r="T34" i="1"/>
  <c r="J45" i="71"/>
  <c r="T10" i="1"/>
  <c r="V10" i="1" s="1"/>
  <c r="G55" i="139" s="1"/>
  <c r="U40" i="1"/>
  <c r="W40" i="1" s="1"/>
  <c r="K7" i="71"/>
  <c r="K45" i="71"/>
  <c r="J14" i="71"/>
  <c r="J48" i="71"/>
  <c r="T38" i="1"/>
  <c r="T25" i="1"/>
  <c r="K49" i="71"/>
  <c r="K6" i="71"/>
  <c r="U17" i="1"/>
  <c r="U37" i="1"/>
  <c r="W37" i="1" s="1"/>
  <c r="T35" i="1"/>
  <c r="T6" i="1"/>
  <c r="Q33" i="1"/>
  <c r="U7" i="1"/>
  <c r="W7" i="1" s="1"/>
  <c r="T43" i="1"/>
  <c r="T18" i="1"/>
  <c r="V18" i="1" s="1"/>
  <c r="J35" i="71"/>
  <c r="D3" i="71"/>
  <c r="J47" i="71"/>
  <c r="J26" i="71"/>
  <c r="T30" i="1"/>
  <c r="V30" i="1" s="1"/>
  <c r="J5" i="71"/>
  <c r="T53" i="1"/>
  <c r="T24" i="1"/>
  <c r="T46" i="1"/>
  <c r="V46" i="1" s="1"/>
  <c r="J27" i="71"/>
  <c r="K10" i="71"/>
  <c r="L50" i="71"/>
  <c r="P50" i="71" s="1"/>
  <c r="U13" i="1"/>
  <c r="J37" i="71"/>
  <c r="K37" i="71"/>
  <c r="U26" i="1"/>
  <c r="U43" i="1"/>
  <c r="J34" i="71"/>
  <c r="T16" i="1"/>
  <c r="Q21" i="1"/>
  <c r="K26" i="71"/>
  <c r="U36" i="1"/>
  <c r="K30" i="71"/>
  <c r="K29" i="71"/>
  <c r="J31" i="71"/>
  <c r="U28" i="1"/>
  <c r="S14" i="1"/>
  <c r="Q14" i="1"/>
  <c r="S39" i="1"/>
  <c r="Q39" i="1"/>
  <c r="S13" i="1"/>
  <c r="Q13" i="1"/>
  <c r="K54" i="71"/>
  <c r="T21" i="1"/>
  <c r="T15" i="1"/>
  <c r="T37" i="1"/>
  <c r="J42" i="71"/>
  <c r="T41" i="1"/>
  <c r="V41" i="1" s="1"/>
  <c r="T14" i="1"/>
  <c r="T39" i="1"/>
  <c r="U34" i="1"/>
  <c r="W34" i="1" s="1"/>
  <c r="N58" i="139" s="1"/>
  <c r="U30" i="1"/>
  <c r="K8" i="71"/>
  <c r="K5" i="71"/>
  <c r="U25" i="1"/>
  <c r="W25" i="1" s="1"/>
  <c r="U46" i="1"/>
  <c r="U24" i="1"/>
  <c r="K44" i="71"/>
  <c r="J20" i="71"/>
  <c r="J11" i="71"/>
  <c r="L11" i="71" s="1"/>
  <c r="T51" i="1"/>
  <c r="T45" i="1"/>
  <c r="T33" i="1"/>
  <c r="K23" i="71"/>
  <c r="T50" i="1"/>
  <c r="U53" i="1"/>
  <c r="U12" i="1"/>
  <c r="K52" i="71"/>
  <c r="K21" i="71"/>
  <c r="K43" i="71"/>
  <c r="J25" i="71"/>
  <c r="U35" i="1"/>
  <c r="J39" i="71"/>
  <c r="U6" i="1"/>
  <c r="W6" i="1" s="1"/>
  <c r="J40" i="71"/>
  <c r="K51" i="71"/>
  <c r="L51" i="71" s="1"/>
  <c r="K41" i="71"/>
  <c r="J44" i="71"/>
  <c r="J46" i="71"/>
  <c r="U21" i="1"/>
  <c r="K34" i="71"/>
  <c r="U39" i="1"/>
  <c r="K42" i="71"/>
  <c r="U51" i="1"/>
  <c r="J28" i="71"/>
  <c r="K56" i="71"/>
  <c r="U52" i="1"/>
  <c r="K15" i="71"/>
  <c r="T7" i="1"/>
  <c r="U8" i="1"/>
  <c r="F3" i="71"/>
  <c r="U31" i="1"/>
  <c r="U10" i="1"/>
  <c r="U38" i="1"/>
  <c r="T40" i="1"/>
  <c r="J6" i="71"/>
  <c r="T27" i="1"/>
  <c r="T32" i="1"/>
  <c r="U14" i="1"/>
  <c r="U33" i="1"/>
  <c r="T28" i="1"/>
  <c r="T23" i="1"/>
  <c r="T31" i="1"/>
  <c r="U45" i="1"/>
  <c r="G15" i="71"/>
  <c r="G3" i="71" s="1"/>
  <c r="K16" i="71"/>
  <c r="K47" i="71"/>
  <c r="T52" i="1"/>
  <c r="K31" i="71"/>
  <c r="J21" i="71"/>
  <c r="K13" i="71"/>
  <c r="T47" i="1"/>
  <c r="J9" i="71"/>
  <c r="L9" i="71" s="1"/>
  <c r="U47" i="1"/>
  <c r="J13" i="71"/>
  <c r="E3" i="71"/>
  <c r="J15" i="71"/>
  <c r="U19" i="1"/>
  <c r="U20" i="1"/>
  <c r="T19" i="1"/>
  <c r="T49" i="1"/>
  <c r="K33" i="71"/>
  <c r="T13" i="1"/>
  <c r="K18" i="71"/>
  <c r="J33" i="71"/>
  <c r="J10" i="71"/>
  <c r="U42" i="1"/>
  <c r="K40" i="71"/>
  <c r="K48" i="71"/>
  <c r="T20" i="1"/>
  <c r="J56" i="71"/>
  <c r="U48" i="1"/>
  <c r="K22" i="71"/>
  <c r="V11" i="1"/>
  <c r="AD6" i="1" l="1"/>
  <c r="L35" i="71"/>
  <c r="G57" i="139"/>
  <c r="L2" i="139"/>
  <c r="W29" i="1"/>
  <c r="L23" i="71"/>
  <c r="G31" i="139"/>
  <c r="G10" i="139"/>
  <c r="G22" i="139"/>
  <c r="I53" i="139"/>
  <c r="I48" i="139"/>
  <c r="G15" i="139"/>
  <c r="G44" i="139"/>
  <c r="L49" i="71"/>
  <c r="L29" i="71"/>
  <c r="L38" i="71"/>
  <c r="Q4" i="1"/>
  <c r="L7" i="71"/>
  <c r="W9" i="1"/>
  <c r="N57" i="139" s="1"/>
  <c r="L12" i="71"/>
  <c r="L27" i="71"/>
  <c r="V241" i="1"/>
  <c r="W241" i="1"/>
  <c r="W15" i="1"/>
  <c r="AD15" i="1" s="1"/>
  <c r="AF15" i="1" s="1"/>
  <c r="V256" i="1"/>
  <c r="W27" i="1"/>
  <c r="L24" i="71"/>
  <c r="L22" i="71"/>
  <c r="L54" i="71"/>
  <c r="L60" i="71"/>
  <c r="AC36" i="1"/>
  <c r="V252" i="1"/>
  <c r="AC44" i="1"/>
  <c r="AE44" i="1" s="1"/>
  <c r="W252" i="1"/>
  <c r="W44" i="1"/>
  <c r="AD37" i="1"/>
  <c r="AD25" i="1"/>
  <c r="AF25" i="1" s="1"/>
  <c r="AC73" i="1"/>
  <c r="AE73" i="1" s="1"/>
  <c r="AC18" i="1"/>
  <c r="AE18" i="1" s="1"/>
  <c r="AD23" i="1"/>
  <c r="AF23" i="1" s="1"/>
  <c r="O32" i="139" s="1"/>
  <c r="AD77" i="1"/>
  <c r="AF77" i="1" s="1"/>
  <c r="AC72" i="1"/>
  <c r="AE72" i="1" s="1"/>
  <c r="AG72" i="1" s="1"/>
  <c r="AB72" i="1" s="1"/>
  <c r="L59" i="71"/>
  <c r="L17" i="71"/>
  <c r="L58" i="71"/>
  <c r="L55" i="71"/>
  <c r="L52" i="71"/>
  <c r="L48" i="71"/>
  <c r="X78" i="1"/>
  <c r="AC78" i="1"/>
  <c r="AE78" i="1" s="1"/>
  <c r="V383" i="1"/>
  <c r="W307" i="1"/>
  <c r="W265" i="1"/>
  <c r="X69" i="1"/>
  <c r="AC69" i="1"/>
  <c r="AE69" i="1" s="1"/>
  <c r="W244" i="1"/>
  <c r="W278" i="1"/>
  <c r="W233" i="1"/>
  <c r="W338" i="1"/>
  <c r="W368" i="1"/>
  <c r="W224" i="1"/>
  <c r="W124" i="1"/>
  <c r="V296" i="1"/>
  <c r="W346" i="1"/>
  <c r="W205" i="1"/>
  <c r="W134" i="1"/>
  <c r="W109" i="1"/>
  <c r="W288" i="1"/>
  <c r="W239" i="1"/>
  <c r="W354" i="1"/>
  <c r="W259" i="1"/>
  <c r="W181" i="1"/>
  <c r="X272" i="1"/>
  <c r="V264" i="1"/>
  <c r="V271" i="1"/>
  <c r="G5" i="139" s="1"/>
  <c r="V306" i="1"/>
  <c r="W326" i="1"/>
  <c r="V199" i="1"/>
  <c r="V163" i="1"/>
  <c r="AC163" i="1" s="1"/>
  <c r="AE163" i="1" s="1"/>
  <c r="V372" i="1"/>
  <c r="V345" i="1"/>
  <c r="W171" i="1"/>
  <c r="W175" i="1"/>
  <c r="W157" i="1"/>
  <c r="W139" i="1"/>
  <c r="W162" i="1"/>
  <c r="W100" i="1"/>
  <c r="W331" i="1"/>
  <c r="V344" i="1"/>
  <c r="V123" i="1"/>
  <c r="V283" i="1"/>
  <c r="V395" i="1"/>
  <c r="W329" i="1"/>
  <c r="X82" i="1"/>
  <c r="AC82" i="1"/>
  <c r="AE82" i="1" s="1"/>
  <c r="AG82" i="1" s="1"/>
  <c r="AB82" i="1" s="1"/>
  <c r="AD85" i="1"/>
  <c r="AF85" i="1" s="1"/>
  <c r="W362" i="1"/>
  <c r="W361" i="1"/>
  <c r="W108" i="1"/>
  <c r="V223" i="1"/>
  <c r="V282" i="1"/>
  <c r="V287" i="1"/>
  <c r="V334" i="1"/>
  <c r="X61" i="1"/>
  <c r="AC61" i="1"/>
  <c r="AE61" i="1" s="1"/>
  <c r="W312" i="1"/>
  <c r="X84" i="1"/>
  <c r="AC84" i="1"/>
  <c r="AE84" i="1" s="1"/>
  <c r="V154" i="1"/>
  <c r="V290" i="1"/>
  <c r="X62" i="1"/>
  <c r="AC62" i="1"/>
  <c r="AE62" i="1" s="1"/>
  <c r="W317" i="1"/>
  <c r="X347" i="1"/>
  <c r="AC347" i="1"/>
  <c r="AE347" i="1" s="1"/>
  <c r="H44" i="139" s="1"/>
  <c r="V138" i="1"/>
  <c r="V101" i="1"/>
  <c r="V139" i="1"/>
  <c r="V216" i="1"/>
  <c r="V103" i="1"/>
  <c r="W308" i="1"/>
  <c r="W152" i="1"/>
  <c r="W350" i="1"/>
  <c r="V265" i="1"/>
  <c r="V133" i="1"/>
  <c r="AD88" i="1"/>
  <c r="AF88" i="1" s="1"/>
  <c r="V134" i="1"/>
  <c r="V161" i="1"/>
  <c r="V232" i="1"/>
  <c r="V211" i="1"/>
  <c r="V219" i="1"/>
  <c r="V339" i="1"/>
  <c r="G40" i="139" s="1"/>
  <c r="X76" i="1"/>
  <c r="AC76" i="1"/>
  <c r="AE76" i="1" s="1"/>
  <c r="W381" i="1"/>
  <c r="W253" i="1"/>
  <c r="W214" i="1"/>
  <c r="W332" i="1"/>
  <c r="V213" i="1"/>
  <c r="X73" i="1"/>
  <c r="V322" i="1"/>
  <c r="V112" i="1"/>
  <c r="W352" i="1"/>
  <c r="W267" i="1"/>
  <c r="V170" i="1"/>
  <c r="W396" i="1"/>
  <c r="AD90" i="1"/>
  <c r="AF90" i="1" s="1"/>
  <c r="W370" i="1"/>
  <c r="W94" i="1"/>
  <c r="W366" i="1"/>
  <c r="W121" i="1"/>
  <c r="W230" i="1"/>
  <c r="W264" i="1"/>
  <c r="V318" i="1"/>
  <c r="W243" i="1"/>
  <c r="W151" i="1"/>
  <c r="W400" i="1"/>
  <c r="W405" i="1"/>
  <c r="W114" i="1"/>
  <c r="W153" i="1"/>
  <c r="W386" i="1"/>
  <c r="W229" i="1"/>
  <c r="W198" i="1"/>
  <c r="V197" i="1"/>
  <c r="V128" i="1"/>
  <c r="V310" i="1"/>
  <c r="W123" i="1"/>
  <c r="AD64" i="1"/>
  <c r="AF64" i="1" s="1"/>
  <c r="W249" i="1"/>
  <c r="W246" i="1"/>
  <c r="X91" i="1"/>
  <c r="AC91" i="1"/>
  <c r="AE91" i="1" s="1"/>
  <c r="V278" i="1"/>
  <c r="V104" i="1"/>
  <c r="V94" i="1"/>
  <c r="X270" i="1"/>
  <c r="W213" i="1"/>
  <c r="W138" i="1"/>
  <c r="W179" i="1"/>
  <c r="W226" i="1"/>
  <c r="W271" i="1"/>
  <c r="N5" i="139" s="1"/>
  <c r="V231" i="1"/>
  <c r="V119" i="1"/>
  <c r="V253" i="1"/>
  <c r="V246" i="1"/>
  <c r="V143" i="1"/>
  <c r="V120" i="1"/>
  <c r="G17" i="139" s="1"/>
  <c r="W360" i="1"/>
  <c r="AD84" i="1"/>
  <c r="AF84" i="1" s="1"/>
  <c r="W154" i="1"/>
  <c r="W172" i="1"/>
  <c r="AC131" i="1"/>
  <c r="AE131" i="1" s="1"/>
  <c r="AG131" i="1" s="1"/>
  <c r="AB131" i="1" s="1"/>
  <c r="V218" i="1"/>
  <c r="V351" i="1"/>
  <c r="V410" i="1"/>
  <c r="X57" i="1"/>
  <c r="V286" i="1"/>
  <c r="V348" i="1"/>
  <c r="W169" i="1"/>
  <c r="V299" i="1"/>
  <c r="V194" i="1"/>
  <c r="X80" i="1"/>
  <c r="AC80" i="1"/>
  <c r="AE80" i="1" s="1"/>
  <c r="V221" i="1"/>
  <c r="W316" i="1"/>
  <c r="V95" i="1"/>
  <c r="V140" i="1"/>
  <c r="V179" i="1"/>
  <c r="V187" i="1"/>
  <c r="V135" i="1"/>
  <c r="W142" i="1"/>
  <c r="W390" i="1"/>
  <c r="V291" i="1"/>
  <c r="V267" i="1"/>
  <c r="V408" i="1"/>
  <c r="AD76" i="1"/>
  <c r="AF76" i="1" s="1"/>
  <c r="V243" i="1"/>
  <c r="V147" i="1"/>
  <c r="V146" i="1"/>
  <c r="V240" i="1"/>
  <c r="V178" i="1"/>
  <c r="X60" i="1"/>
  <c r="AC60" i="1"/>
  <c r="AE60" i="1" s="1"/>
  <c r="V237" i="1"/>
  <c r="W173" i="1"/>
  <c r="W212" i="1"/>
  <c r="W185" i="1"/>
  <c r="W176" i="1"/>
  <c r="V201" i="1"/>
  <c r="V396" i="1"/>
  <c r="V323" i="1"/>
  <c r="V324" i="1"/>
  <c r="V402" i="1"/>
  <c r="W304" i="1"/>
  <c r="W262" i="1"/>
  <c r="N11" i="139" s="1"/>
  <c r="V312" i="1"/>
  <c r="AD66" i="1"/>
  <c r="AF66" i="1" s="1"/>
  <c r="AD387" i="1"/>
  <c r="AF387" i="1" s="1"/>
  <c r="W345" i="1"/>
  <c r="W111" i="1"/>
  <c r="W342" i="1"/>
  <c r="W127" i="1"/>
  <c r="W315" i="1"/>
  <c r="W289" i="1"/>
  <c r="V317" i="1"/>
  <c r="W277" i="1"/>
  <c r="W279" i="1"/>
  <c r="W343" i="1"/>
  <c r="W223" i="1"/>
  <c r="W282" i="1"/>
  <c r="W341" i="1"/>
  <c r="W102" i="1"/>
  <c r="W174" i="1"/>
  <c r="V181" i="1"/>
  <c r="V293" i="1"/>
  <c r="V116" i="1"/>
  <c r="W291" i="1"/>
  <c r="N42" i="139" s="1"/>
  <c r="W388" i="1"/>
  <c r="AD68" i="1"/>
  <c r="AF68" i="1" s="1"/>
  <c r="V357" i="1"/>
  <c r="V110" i="1"/>
  <c r="V200" i="1"/>
  <c r="V183" i="1"/>
  <c r="W201" i="1"/>
  <c r="W96" i="1"/>
  <c r="W103" i="1"/>
  <c r="W159" i="1"/>
  <c r="W140" i="1"/>
  <c r="W97" i="1"/>
  <c r="W242" i="1"/>
  <c r="V401" i="1"/>
  <c r="V295" i="1"/>
  <c r="X68" i="1"/>
  <c r="AC68" i="1"/>
  <c r="AE68" i="1" s="1"/>
  <c r="V249" i="1"/>
  <c r="V399" i="1"/>
  <c r="X81" i="1"/>
  <c r="AC81" i="1"/>
  <c r="AE81" i="1" s="1"/>
  <c r="AG81" i="1" s="1"/>
  <c r="AB81" i="1" s="1"/>
  <c r="W155" i="1"/>
  <c r="W299" i="1"/>
  <c r="W156" i="1"/>
  <c r="W236" i="1"/>
  <c r="V386" i="1"/>
  <c r="V354" i="1"/>
  <c r="V259" i="1"/>
  <c r="V113" i="1"/>
  <c r="X58" i="1"/>
  <c r="V412" i="1"/>
  <c r="X256" i="1"/>
  <c r="W311" i="1"/>
  <c r="V148" i="1"/>
  <c r="V108" i="1"/>
  <c r="V298" i="1"/>
  <c r="V158" i="1"/>
  <c r="W301" i="1"/>
  <c r="V190" i="1"/>
  <c r="X56" i="1"/>
  <c r="V159" i="1"/>
  <c r="V251" i="1"/>
  <c r="V167" i="1"/>
  <c r="W393" i="1"/>
  <c r="W322" i="1"/>
  <c r="X64" i="1"/>
  <c r="AC64" i="1"/>
  <c r="AE64" i="1" s="1"/>
  <c r="V262" i="1"/>
  <c r="V315" i="1"/>
  <c r="W237" i="1"/>
  <c r="V277" i="1"/>
  <c r="V403" i="1"/>
  <c r="V359" i="1"/>
  <c r="V202" i="1"/>
  <c r="V210" i="1"/>
  <c r="X75" i="1"/>
  <c r="AC75" i="1"/>
  <c r="AE75" i="1" s="1"/>
  <c r="V319" i="1"/>
  <c r="W257" i="1"/>
  <c r="W209" i="1"/>
  <c r="W211" i="1"/>
  <c r="W208" i="1"/>
  <c r="V355" i="1"/>
  <c r="V404" i="1"/>
  <c r="L41" i="71"/>
  <c r="V350" i="1"/>
  <c r="V144" i="1"/>
  <c r="V391" i="1"/>
  <c r="W222" i="1"/>
  <c r="V379" i="1"/>
  <c r="W195" i="1"/>
  <c r="N25" i="139" s="1"/>
  <c r="W107" i="1"/>
  <c r="W149" i="1"/>
  <c r="W367" i="1"/>
  <c r="W129" i="1"/>
  <c r="AD347" i="1"/>
  <c r="AF347" i="1" s="1"/>
  <c r="W303" i="1"/>
  <c r="W133" i="1"/>
  <c r="W293" i="1"/>
  <c r="V316" i="1"/>
  <c r="W146" i="1"/>
  <c r="W145" i="1"/>
  <c r="W218" i="1"/>
  <c r="W351" i="1"/>
  <c r="W410" i="1"/>
  <c r="W287" i="1"/>
  <c r="W300" i="1"/>
  <c r="W280" i="1"/>
  <c r="W160" i="1"/>
  <c r="V160" i="1"/>
  <c r="V122" i="1"/>
  <c r="X79" i="1"/>
  <c r="W119" i="1"/>
  <c r="N27" i="139" s="1"/>
  <c r="V305" i="1"/>
  <c r="W394" i="1"/>
  <c r="W325" i="1"/>
  <c r="V129" i="1"/>
  <c r="V374" i="1"/>
  <c r="V369" i="1"/>
  <c r="V215" i="1"/>
  <c r="W120" i="1"/>
  <c r="N17" i="139" s="1"/>
  <c r="W164" i="1"/>
  <c r="W235" i="1"/>
  <c r="W137" i="1"/>
  <c r="W136" i="1"/>
  <c r="W247" i="1"/>
  <c r="W95" i="1"/>
  <c r="V263" i="1"/>
  <c r="G33" i="139" s="1"/>
  <c r="W118" i="1"/>
  <c r="V330" i="1"/>
  <c r="V257" i="1"/>
  <c r="V388" i="1"/>
  <c r="V285" i="1"/>
  <c r="V329" i="1"/>
  <c r="V268" i="1"/>
  <c r="AD62" i="1"/>
  <c r="AF62" i="1" s="1"/>
  <c r="W148" i="1"/>
  <c r="W166" i="1"/>
  <c r="W364" i="1"/>
  <c r="X255" i="1"/>
  <c r="AC255" i="1"/>
  <c r="AE255" i="1" s="1"/>
  <c r="V260" i="1"/>
  <c r="V102" i="1"/>
  <c r="V196" i="1"/>
  <c r="V227" i="1"/>
  <c r="V153" i="1"/>
  <c r="X71" i="1"/>
  <c r="AC71" i="1"/>
  <c r="AE71" i="1" s="1"/>
  <c r="W314" i="1"/>
  <c r="V172" i="1"/>
  <c r="V373" i="1"/>
  <c r="V236" i="1"/>
  <c r="X85" i="1"/>
  <c r="AC85" i="1"/>
  <c r="AE85" i="1" s="1"/>
  <c r="V156" i="1"/>
  <c r="W296" i="1"/>
  <c r="V273" i="1"/>
  <c r="V96" i="1"/>
  <c r="V98" i="1"/>
  <c r="V162" i="1"/>
  <c r="V157" i="1"/>
  <c r="V136" i="1"/>
  <c r="W402" i="1"/>
  <c r="W323" i="1"/>
  <c r="V274" i="1"/>
  <c r="V230" i="1"/>
  <c r="W281" i="1"/>
  <c r="V356" i="1"/>
  <c r="X92" i="1"/>
  <c r="AC92" i="1"/>
  <c r="AE92" i="1" s="1"/>
  <c r="V209" i="1"/>
  <c r="V204" i="1"/>
  <c r="V220" i="1"/>
  <c r="AG74" i="1"/>
  <c r="AB74" i="1" s="1"/>
  <c r="V250" i="1"/>
  <c r="V173" i="1"/>
  <c r="W165" i="1"/>
  <c r="W178" i="1"/>
  <c r="W219" i="1"/>
  <c r="W240" i="1"/>
  <c r="V164" i="1"/>
  <c r="X66" i="1"/>
  <c r="AC66" i="1"/>
  <c r="AE66" i="1" s="1"/>
  <c r="V308" i="1"/>
  <c r="V152" i="1"/>
  <c r="V392" i="1"/>
  <c r="V169" i="1"/>
  <c r="V311" i="1"/>
  <c r="W398" i="1"/>
  <c r="W340" i="1"/>
  <c r="W365" i="1"/>
  <c r="W372" i="1"/>
  <c r="W193" i="1"/>
  <c r="W182" i="1"/>
  <c r="W199" i="1"/>
  <c r="W337" i="1"/>
  <c r="W131" i="1"/>
  <c r="N32" i="139" s="1"/>
  <c r="W356" i="1"/>
  <c r="AD92" i="1"/>
  <c r="AF92" i="1" s="1"/>
  <c r="W411" i="1"/>
  <c r="AD411" i="1" s="1"/>
  <c r="AF411" i="1" s="1"/>
  <c r="AD61" i="1"/>
  <c r="AF61" i="1" s="1"/>
  <c r="W196" i="1"/>
  <c r="AD57" i="1"/>
  <c r="AF57" i="1" s="1"/>
  <c r="AG57" i="1" s="1"/>
  <c r="AB57" i="1" s="1"/>
  <c r="AD63" i="1"/>
  <c r="AF63" i="1" s="1"/>
  <c r="W336" i="1"/>
  <c r="W197" i="1"/>
  <c r="V174" i="1"/>
  <c r="V289" i="1"/>
  <c r="V118" i="1"/>
  <c r="W295" i="1"/>
  <c r="V222" i="1"/>
  <c r="W285" i="1"/>
  <c r="W382" i="1"/>
  <c r="V385" i="1"/>
  <c r="V233" i="1"/>
  <c r="V107" i="1"/>
  <c r="V338" i="1"/>
  <c r="W141" i="1"/>
  <c r="W177" i="1"/>
  <c r="W245" i="1"/>
  <c r="W187" i="1"/>
  <c r="W116" i="1"/>
  <c r="V182" i="1"/>
  <c r="V234" i="1"/>
  <c r="V394" i="1"/>
  <c r="V327" i="1"/>
  <c r="W371" i="1"/>
  <c r="W373" i="1"/>
  <c r="W221" i="1"/>
  <c r="W192" i="1"/>
  <c r="AD59" i="1"/>
  <c r="AF59" i="1" s="1"/>
  <c r="V300" i="1"/>
  <c r="V280" i="1"/>
  <c r="X63" i="1"/>
  <c r="AC63" i="1"/>
  <c r="AE63" i="1" s="1"/>
  <c r="X77" i="1"/>
  <c r="AC77" i="1"/>
  <c r="AE77" i="1" s="1"/>
  <c r="V411" i="1"/>
  <c r="X72" i="1"/>
  <c r="W273" i="1"/>
  <c r="N6" i="139" s="1"/>
  <c r="W379" i="1"/>
  <c r="V371" i="1"/>
  <c r="V191" i="1"/>
  <c r="V364" i="1"/>
  <c r="V360" i="1"/>
  <c r="W228" i="1"/>
  <c r="W318" i="1"/>
  <c r="V137" i="1"/>
  <c r="V225" i="1"/>
  <c r="X55" i="1"/>
  <c r="AC55" i="1"/>
  <c r="AE55" i="1" s="1"/>
  <c r="AG55" i="1" s="1"/>
  <c r="AB55" i="1" s="1"/>
  <c r="V189" i="1"/>
  <c r="V248" i="1"/>
  <c r="AD78" i="1"/>
  <c r="AF78" i="1" s="1"/>
  <c r="AD70" i="1"/>
  <c r="AF70" i="1" s="1"/>
  <c r="W231" i="1"/>
  <c r="V207" i="1"/>
  <c r="AD75" i="1"/>
  <c r="AF75" i="1" s="1"/>
  <c r="V106" i="1"/>
  <c r="V349" i="1"/>
  <c r="V203" i="1"/>
  <c r="V332" i="1"/>
  <c r="V380" i="1"/>
  <c r="V261" i="1"/>
  <c r="V381" i="1"/>
  <c r="V130" i="1"/>
  <c r="W220" i="1"/>
  <c r="W202" i="1"/>
  <c r="W206" i="1"/>
  <c r="V363" i="1"/>
  <c r="V244" i="1"/>
  <c r="V142" i="1"/>
  <c r="V389" i="1"/>
  <c r="V390" i="1"/>
  <c r="V321" i="1"/>
  <c r="V314" i="1"/>
  <c r="X65" i="1"/>
  <c r="AC65" i="1"/>
  <c r="AE65" i="1" s="1"/>
  <c r="V269" i="1"/>
  <c r="W215" i="1"/>
  <c r="W183" i="1"/>
  <c r="W104" i="1"/>
  <c r="W385" i="1"/>
  <c r="W401" i="1"/>
  <c r="AD401" i="1" s="1"/>
  <c r="AF401" i="1" s="1"/>
  <c r="W132" i="1"/>
  <c r="X409" i="1"/>
  <c r="AC409" i="1"/>
  <c r="AE409" i="1" s="1"/>
  <c r="H22" i="139" s="1"/>
  <c r="W359" i="1"/>
  <c r="W375" i="1"/>
  <c r="W260" i="1"/>
  <c r="AD89" i="1"/>
  <c r="AF89" i="1" s="1"/>
  <c r="W412" i="1"/>
  <c r="W113" i="1"/>
  <c r="W294" i="1"/>
  <c r="W334" i="1"/>
  <c r="V302" i="1"/>
  <c r="V198" i="1"/>
  <c r="V124" i="1"/>
  <c r="V309" i="1"/>
  <c r="V307" i="1"/>
  <c r="W328" i="1"/>
  <c r="V303" i="1"/>
  <c r="V149" i="1"/>
  <c r="V111" i="1"/>
  <c r="V340" i="1"/>
  <c r="V370" i="1"/>
  <c r="W363" i="1"/>
  <c r="W355" i="1"/>
  <c r="W216" i="1"/>
  <c r="W251" i="1"/>
  <c r="W333" i="1"/>
  <c r="AD54" i="1"/>
  <c r="AF54" i="1" s="1"/>
  <c r="W190" i="1"/>
  <c r="W309" i="1"/>
  <c r="AD79" i="1"/>
  <c r="AF79" i="1" s="1"/>
  <c r="AG79" i="1" s="1"/>
  <c r="AB79" i="1" s="1"/>
  <c r="V284" i="1"/>
  <c r="V165" i="1"/>
  <c r="V325" i="1"/>
  <c r="V326" i="1"/>
  <c r="W150" i="1"/>
  <c r="W191" i="1"/>
  <c r="AD80" i="1"/>
  <c r="AF80" i="1" s="1"/>
  <c r="W376" i="1"/>
  <c r="W339" i="1"/>
  <c r="N40" i="139" s="1"/>
  <c r="V229" i="1"/>
  <c r="V353" i="1"/>
  <c r="V239" i="1"/>
  <c r="V292" i="1"/>
  <c r="V343" i="1"/>
  <c r="V294" i="1"/>
  <c r="AD69" i="1"/>
  <c r="AF69" i="1" s="1"/>
  <c r="V184" i="1"/>
  <c r="V384" i="1"/>
  <c r="V150" i="1"/>
  <c r="V238" i="1"/>
  <c r="W130" i="1"/>
  <c r="X54" i="1"/>
  <c r="AC54" i="1"/>
  <c r="AE54" i="1" s="1"/>
  <c r="V177" i="1"/>
  <c r="V245" i="1"/>
  <c r="V100" i="1"/>
  <c r="V247" i="1"/>
  <c r="W275" i="1"/>
  <c r="W324" i="1"/>
  <c r="W389" i="1"/>
  <c r="W117" i="1"/>
  <c r="W125" i="1"/>
  <c r="W250" i="1"/>
  <c r="V205" i="1"/>
  <c r="V151" i="1"/>
  <c r="V176" i="1"/>
  <c r="V212" i="1"/>
  <c r="V208" i="1"/>
  <c r="V281" i="1"/>
  <c r="W377" i="1"/>
  <c r="V228" i="1"/>
  <c r="AC228" i="1" s="1"/>
  <c r="AE228" i="1" s="1"/>
  <c r="AG228" i="1" s="1"/>
  <c r="AB228" i="1" s="1"/>
  <c r="W217" i="1"/>
  <c r="W210" i="1"/>
  <c r="V168" i="1"/>
  <c r="V397" i="1"/>
  <c r="V398" i="1"/>
  <c r="V393" i="1"/>
  <c r="V406" i="1"/>
  <c r="W306" i="1"/>
  <c r="X87" i="1"/>
  <c r="AC87" i="1"/>
  <c r="AE87" i="1" s="1"/>
  <c r="AD73" i="1"/>
  <c r="AF73" i="1" s="1"/>
  <c r="AD91" i="1"/>
  <c r="AF91" i="1" s="1"/>
  <c r="W374" i="1"/>
  <c r="W200" i="1"/>
  <c r="W163" i="1"/>
  <c r="AD163" i="1" s="1"/>
  <c r="AF163" i="1" s="1"/>
  <c r="W284" i="1"/>
  <c r="AD409" i="1"/>
  <c r="AF409" i="1" s="1"/>
  <c r="W128" i="1"/>
  <c r="V297" i="1"/>
  <c r="W147" i="1"/>
  <c r="W232" i="1"/>
  <c r="W349" i="1"/>
  <c r="W348" i="1"/>
  <c r="AD58" i="1"/>
  <c r="AF58" i="1" s="1"/>
  <c r="AG58" i="1" s="1"/>
  <c r="AB58" i="1" s="1"/>
  <c r="AD71" i="1"/>
  <c r="AF71" i="1" s="1"/>
  <c r="W292" i="1"/>
  <c r="W353" i="1"/>
  <c r="W254" i="1"/>
  <c r="V125" i="1"/>
  <c r="V337" i="1"/>
  <c r="V115" i="1"/>
  <c r="V242" i="1"/>
  <c r="V352" i="1"/>
  <c r="W327" i="1"/>
  <c r="V127" i="1"/>
  <c r="V365" i="1"/>
  <c r="V367" i="1"/>
  <c r="V342" i="1"/>
  <c r="V93" i="1"/>
  <c r="W397" i="1"/>
  <c r="W168" i="1"/>
  <c r="W189" i="1"/>
  <c r="W101" i="1"/>
  <c r="W407" i="1"/>
  <c r="W167" i="1"/>
  <c r="W98" i="1"/>
  <c r="W320" i="1"/>
  <c r="W310" i="1"/>
  <c r="V328" i="1"/>
  <c r="W143" i="1"/>
  <c r="N23" i="139" s="1"/>
  <c r="X378" i="1"/>
  <c r="AC378" i="1"/>
  <c r="AE378" i="1" s="1"/>
  <c r="W184" i="1"/>
  <c r="W384" i="1"/>
  <c r="W194" i="1"/>
  <c r="W238" i="1"/>
  <c r="AD60" i="1"/>
  <c r="AF60" i="1" s="1"/>
  <c r="V109" i="1"/>
  <c r="V276" i="1"/>
  <c r="V336" i="1"/>
  <c r="V335" i="1"/>
  <c r="X89" i="1"/>
  <c r="AC89" i="1"/>
  <c r="AE89" i="1" s="1"/>
  <c r="V358" i="1"/>
  <c r="W170" i="1"/>
  <c r="AD65" i="1"/>
  <c r="AF65" i="1" s="1"/>
  <c r="V376" i="1"/>
  <c r="V105" i="1"/>
  <c r="V192" i="1"/>
  <c r="V313" i="1"/>
  <c r="W126" i="1"/>
  <c r="V99" i="1"/>
  <c r="V333" i="1"/>
  <c r="V235" i="1"/>
  <c r="V407" i="1"/>
  <c r="W383" i="1"/>
  <c r="W392" i="1"/>
  <c r="W112" i="1"/>
  <c r="W344" i="1"/>
  <c r="W302" i="1"/>
  <c r="W261" i="1"/>
  <c r="V145" i="1"/>
  <c r="V279" i="1"/>
  <c r="V186" i="1"/>
  <c r="V185" i="1"/>
  <c r="V214" i="1"/>
  <c r="X88" i="1"/>
  <c r="AC88" i="1"/>
  <c r="AE88" i="1" s="1"/>
  <c r="W283" i="1"/>
  <c r="V126" i="1"/>
  <c r="W203" i="1"/>
  <c r="W380" i="1"/>
  <c r="V180" i="1"/>
  <c r="X70" i="1"/>
  <c r="AC70" i="1"/>
  <c r="AE70" i="1" s="1"/>
  <c r="V275" i="1"/>
  <c r="W305" i="1"/>
  <c r="W266" i="1"/>
  <c r="X67" i="1"/>
  <c r="AC67" i="1"/>
  <c r="AE67" i="1" s="1"/>
  <c r="W404" i="1"/>
  <c r="W93" i="1"/>
  <c r="N54" i="139" s="1"/>
  <c r="W110" i="1"/>
  <c r="W369" i="1"/>
  <c r="W357" i="1"/>
  <c r="W330" i="1"/>
  <c r="W408" i="1"/>
  <c r="W122" i="1"/>
  <c r="V301" i="1"/>
  <c r="W403" i="1"/>
  <c r="AD403" i="1" s="1"/>
  <c r="AF403" i="1" s="1"/>
  <c r="W106" i="1"/>
  <c r="W161" i="1"/>
  <c r="W358" i="1"/>
  <c r="W276" i="1"/>
  <c r="W335" i="1"/>
  <c r="AD335" i="1" s="1"/>
  <c r="AF335" i="1" s="1"/>
  <c r="AG335" i="1" s="1"/>
  <c r="AB335" i="1" s="1"/>
  <c r="W227" i="1"/>
  <c r="W286" i="1"/>
  <c r="V132" i="1"/>
  <c r="V331" i="1"/>
  <c r="V320" i="1"/>
  <c r="W274" i="1"/>
  <c r="N9" i="139" s="1"/>
  <c r="V304" i="1"/>
  <c r="W395" i="1"/>
  <c r="V121" i="1"/>
  <c r="V368" i="1"/>
  <c r="V193" i="1"/>
  <c r="X90" i="1"/>
  <c r="AC90" i="1"/>
  <c r="AE90" i="1" s="1"/>
  <c r="V366" i="1"/>
  <c r="W180" i="1"/>
  <c r="W268" i="1"/>
  <c r="N41" i="139" s="1"/>
  <c r="W135" i="1"/>
  <c r="W188" i="1"/>
  <c r="W248" i="1"/>
  <c r="W99" i="1"/>
  <c r="W225" i="1"/>
  <c r="W115" i="1"/>
  <c r="V117" i="1"/>
  <c r="X86" i="1"/>
  <c r="AC86" i="1"/>
  <c r="AE86" i="1" s="1"/>
  <c r="V377" i="1"/>
  <c r="V382" i="1"/>
  <c r="W399" i="1"/>
  <c r="AD321" i="1"/>
  <c r="AF321" i="1" s="1"/>
  <c r="W298" i="1"/>
  <c r="W313" i="1"/>
  <c r="W105" i="1"/>
  <c r="N52" i="139" s="1"/>
  <c r="W290" i="1"/>
  <c r="N49" i="139" s="1"/>
  <c r="W158" i="1"/>
  <c r="V387" i="1"/>
  <c r="V405" i="1"/>
  <c r="V288" i="1"/>
  <c r="V341" i="1"/>
  <c r="V254" i="1"/>
  <c r="V114" i="1"/>
  <c r="AG83" i="1"/>
  <c r="AB83" i="1" s="1"/>
  <c r="AD87" i="1"/>
  <c r="AF87" i="1" s="1"/>
  <c r="AD67" i="1"/>
  <c r="AF67" i="1" s="1"/>
  <c r="V362" i="1"/>
  <c r="V361" i="1"/>
  <c r="V166" i="1"/>
  <c r="V155" i="1"/>
  <c r="W297" i="1"/>
  <c r="V175" i="1"/>
  <c r="V226" i="1"/>
  <c r="V97" i="1"/>
  <c r="V141" i="1"/>
  <c r="V188" i="1"/>
  <c r="W391" i="1"/>
  <c r="W406" i="1"/>
  <c r="W144" i="1"/>
  <c r="V266" i="1"/>
  <c r="V224" i="1"/>
  <c r="V346" i="1"/>
  <c r="V400" i="1"/>
  <c r="V375" i="1"/>
  <c r="V206" i="1"/>
  <c r="V217" i="1"/>
  <c r="X59" i="1"/>
  <c r="AC59" i="1"/>
  <c r="AE59" i="1" s="1"/>
  <c r="AD207" i="1"/>
  <c r="AF207" i="1" s="1"/>
  <c r="W319" i="1"/>
  <c r="W234" i="1"/>
  <c r="V258" i="1"/>
  <c r="W186" i="1"/>
  <c r="AD186" i="1" s="1"/>
  <c r="AF186" i="1" s="1"/>
  <c r="AG186" i="1" s="1"/>
  <c r="AB186" i="1" s="1"/>
  <c r="W204" i="1"/>
  <c r="V171" i="1"/>
  <c r="V195" i="1"/>
  <c r="AD378" i="1"/>
  <c r="AF378" i="1" s="1"/>
  <c r="L36" i="71"/>
  <c r="V6" i="1"/>
  <c r="L20" i="71"/>
  <c r="W18" i="1"/>
  <c r="X18" i="1" s="1"/>
  <c r="AC42" i="1"/>
  <c r="AE42" i="1" s="1"/>
  <c r="L18" i="71"/>
  <c r="AD29" i="1"/>
  <c r="AF29" i="1" s="1"/>
  <c r="L10" i="71"/>
  <c r="L8" i="71"/>
  <c r="L43" i="71"/>
  <c r="AC12" i="1"/>
  <c r="AE12" i="1" s="1"/>
  <c r="V34" i="1"/>
  <c r="G58" i="139" s="1"/>
  <c r="AD18" i="1"/>
  <c r="AF18" i="1" s="1"/>
  <c r="AC10" i="1"/>
  <c r="AE10" i="1" s="1"/>
  <c r="H55" i="139" s="1"/>
  <c r="J55" i="139" s="1"/>
  <c r="K55" i="139" s="1"/>
  <c r="AD40" i="1"/>
  <c r="AF40" i="1" s="1"/>
  <c r="W49" i="1"/>
  <c r="L16" i="71"/>
  <c r="L32" i="71"/>
  <c r="L34" i="71"/>
  <c r="L45" i="71"/>
  <c r="L28" i="71"/>
  <c r="L14" i="71"/>
  <c r="AD7" i="1"/>
  <c r="AF7" i="1" s="1"/>
  <c r="AC29" i="1"/>
  <c r="AE29" i="1" s="1"/>
  <c r="L25" i="71"/>
  <c r="L47" i="71"/>
  <c r="V37" i="1"/>
  <c r="L37" i="71"/>
  <c r="L6" i="71"/>
  <c r="L39" i="71"/>
  <c r="L30" i="71"/>
  <c r="V48" i="1"/>
  <c r="AC48" i="1" s="1"/>
  <c r="V53" i="1"/>
  <c r="V8" i="1"/>
  <c r="L46" i="71"/>
  <c r="X29" i="1"/>
  <c r="AD34" i="1"/>
  <c r="AF34" i="1" s="1"/>
  <c r="L26" i="71"/>
  <c r="V25" i="1"/>
  <c r="L40" i="71"/>
  <c r="L5" i="71"/>
  <c r="Q15" i="139"/>
  <c r="Q31" i="139"/>
  <c r="Q7" i="139"/>
  <c r="Q10" i="139"/>
  <c r="Q33" i="139"/>
  <c r="L15" i="71"/>
  <c r="L42" i="71"/>
  <c r="AC41" i="1"/>
  <c r="AE41" i="1" s="1"/>
  <c r="AC26" i="1"/>
  <c r="AE26" i="1" s="1"/>
  <c r="H29" i="139" s="1"/>
  <c r="I29" i="139" s="1"/>
  <c r="V32" i="1"/>
  <c r="W38" i="1"/>
  <c r="V24" i="1"/>
  <c r="W51" i="1"/>
  <c r="V16" i="1"/>
  <c r="W28" i="1"/>
  <c r="W36" i="1"/>
  <c r="V43" i="1"/>
  <c r="W31" i="1"/>
  <c r="N20" i="139" s="1"/>
  <c r="V7" i="1"/>
  <c r="W39" i="1"/>
  <c r="N34" i="139" s="1"/>
  <c r="W52" i="1"/>
  <c r="W43" i="1"/>
  <c r="L31" i="71"/>
  <c r="V35" i="1"/>
  <c r="V45" i="1"/>
  <c r="V38" i="1"/>
  <c r="L44" i="71"/>
  <c r="W26" i="1"/>
  <c r="N29" i="139" s="1"/>
  <c r="W17" i="1"/>
  <c r="N36" i="139" s="1"/>
  <c r="W13" i="1"/>
  <c r="N19" i="139" s="1"/>
  <c r="V31" i="1"/>
  <c r="V14" i="1"/>
  <c r="L21" i="71"/>
  <c r="W53" i="1"/>
  <c r="AC46" i="1"/>
  <c r="AE46" i="1" s="1"/>
  <c r="W46" i="1"/>
  <c r="N47" i="139" s="1"/>
  <c r="V33" i="1"/>
  <c r="W42" i="1"/>
  <c r="N21" i="139" s="1"/>
  <c r="V39" i="1"/>
  <c r="AC30" i="1"/>
  <c r="AE30" i="1" s="1"/>
  <c r="V21" i="1"/>
  <c r="W21" i="1"/>
  <c r="W8" i="1"/>
  <c r="L56" i="71"/>
  <c r="V15" i="1"/>
  <c r="W35" i="1"/>
  <c r="W12" i="1"/>
  <c r="N16" i="139" s="1"/>
  <c r="V50" i="1"/>
  <c r="V51" i="1"/>
  <c r="W24" i="1"/>
  <c r="N45" i="139" s="1"/>
  <c r="W30" i="1"/>
  <c r="V40" i="1"/>
  <c r="K3" i="71"/>
  <c r="W10" i="1"/>
  <c r="N55" i="139" s="1"/>
  <c r="L33" i="71"/>
  <c r="J3" i="71"/>
  <c r="V28" i="1"/>
  <c r="V23" i="1"/>
  <c r="G32" i="139" s="1"/>
  <c r="V27" i="1"/>
  <c r="W14" i="1"/>
  <c r="W33" i="1"/>
  <c r="N43" i="139" s="1"/>
  <c r="W45" i="1"/>
  <c r="L13" i="71"/>
  <c r="V52" i="1"/>
  <c r="W19" i="1"/>
  <c r="N12" i="139" s="1"/>
  <c r="V47" i="1"/>
  <c r="W20" i="1"/>
  <c r="W47" i="1"/>
  <c r="N26" i="139" s="1"/>
  <c r="V19" i="1"/>
  <c r="V13" i="1"/>
  <c r="V49" i="1"/>
  <c r="V20" i="1"/>
  <c r="W48" i="1"/>
  <c r="AD22" i="1"/>
  <c r="AC11" i="1"/>
  <c r="AC17" i="1"/>
  <c r="AC22" i="1"/>
  <c r="X22" i="1"/>
  <c r="AD11" i="1"/>
  <c r="X11" i="1"/>
  <c r="AD9" i="1"/>
  <c r="AD32" i="1"/>
  <c r="X9" i="1"/>
  <c r="AC9" i="1"/>
  <c r="AD16" i="1"/>
  <c r="AF37" i="1"/>
  <c r="AD41" i="1"/>
  <c r="AE36" i="1"/>
  <c r="X41" i="1"/>
  <c r="AD44" i="1"/>
  <c r="AD50" i="1"/>
  <c r="N56" i="139" l="1"/>
  <c r="N18" i="139"/>
  <c r="N38" i="139"/>
  <c r="N30" i="139"/>
  <c r="N39" i="139"/>
  <c r="AD27" i="1"/>
  <c r="AF27" i="1" s="1"/>
  <c r="N50" i="139"/>
  <c r="N28" i="139"/>
  <c r="N37" i="139"/>
  <c r="N14" i="139"/>
  <c r="N51" i="139"/>
  <c r="N46" i="139"/>
  <c r="N24" i="139"/>
  <c r="G37" i="139"/>
  <c r="G49" i="139"/>
  <c r="P13" i="139"/>
  <c r="Q13" i="139"/>
  <c r="R13" i="139" s="1"/>
  <c r="AI258" i="1" s="1"/>
  <c r="G18" i="139"/>
  <c r="G12" i="139"/>
  <c r="G16" i="139"/>
  <c r="G34" i="139"/>
  <c r="G47" i="139"/>
  <c r="G21" i="139"/>
  <c r="G27" i="139"/>
  <c r="G36" i="139"/>
  <c r="G52" i="139"/>
  <c r="G23" i="139"/>
  <c r="G45" i="139"/>
  <c r="G25" i="139"/>
  <c r="I5" i="139"/>
  <c r="J5" i="139"/>
  <c r="K5" i="139" s="1"/>
  <c r="G28" i="139"/>
  <c r="I22" i="139"/>
  <c r="J22" i="139"/>
  <c r="K22" i="139" s="1"/>
  <c r="G19" i="139"/>
  <c r="G60" i="139"/>
  <c r="G46" i="139"/>
  <c r="G41" i="139"/>
  <c r="G14" i="139"/>
  <c r="G20" i="139"/>
  <c r="G13" i="139"/>
  <c r="G6" i="139"/>
  <c r="I15" i="139"/>
  <c r="J15" i="139"/>
  <c r="K15" i="139" s="1"/>
  <c r="G30" i="139"/>
  <c r="G38" i="139"/>
  <c r="G59" i="139"/>
  <c r="G51" i="139"/>
  <c r="G39" i="139"/>
  <c r="I55" i="139"/>
  <c r="G42" i="139"/>
  <c r="G11" i="139"/>
  <c r="G50" i="139"/>
  <c r="G54" i="139"/>
  <c r="G35" i="139"/>
  <c r="I10" i="139"/>
  <c r="J10" i="139"/>
  <c r="K10" i="139" s="1"/>
  <c r="J29" i="139"/>
  <c r="K29" i="139" s="1"/>
  <c r="G26" i="139"/>
  <c r="AC6" i="1"/>
  <c r="AE6" i="1" s="1"/>
  <c r="G43" i="139"/>
  <c r="G7" i="139"/>
  <c r="AG66" i="1"/>
  <c r="AB66" i="1" s="1"/>
  <c r="AG255" i="1"/>
  <c r="AB255" i="1" s="1"/>
  <c r="H31" i="139"/>
  <c r="J31" i="139" s="1"/>
  <c r="K31" i="139" s="1"/>
  <c r="G24" i="139"/>
  <c r="AG86" i="1"/>
  <c r="AB86" i="1" s="1"/>
  <c r="G56" i="139"/>
  <c r="G9" i="139"/>
  <c r="I33" i="139"/>
  <c r="J33" i="139"/>
  <c r="K33" i="139" s="1"/>
  <c r="I44" i="139"/>
  <c r="J44" i="139"/>
  <c r="K44" i="139" s="1"/>
  <c r="AG90" i="1"/>
  <c r="AB90" i="1" s="1"/>
  <c r="X241" i="1"/>
  <c r="X6" i="1"/>
  <c r="V4" i="1"/>
  <c r="W4" i="1"/>
  <c r="X44" i="1"/>
  <c r="AG163" i="1"/>
  <c r="AB163" i="1" s="1"/>
  <c r="AC411" i="1"/>
  <c r="AE411" i="1" s="1"/>
  <c r="AG411" i="1" s="1"/>
  <c r="AB411" i="1" s="1"/>
  <c r="AC403" i="1"/>
  <c r="AE403" i="1" s="1"/>
  <c r="AG403" i="1" s="1"/>
  <c r="AB403" i="1" s="1"/>
  <c r="AC289" i="1"/>
  <c r="AE289" i="1" s="1"/>
  <c r="AG289" i="1" s="1"/>
  <c r="AB289" i="1" s="1"/>
  <c r="AG18" i="1"/>
  <c r="AB18" i="1" s="1"/>
  <c r="AG77" i="1"/>
  <c r="AB77" i="1" s="1"/>
  <c r="AG73" i="1"/>
  <c r="AB73" i="1" s="1"/>
  <c r="X252" i="1"/>
  <c r="AG59" i="1"/>
  <c r="AB59" i="1" s="1"/>
  <c r="AC25" i="1"/>
  <c r="AE25" i="1" s="1"/>
  <c r="AG25" i="1" s="1"/>
  <c r="AB25" i="1" s="1"/>
  <c r="AC243" i="1"/>
  <c r="AE243" i="1" s="1"/>
  <c r="AC232" i="1"/>
  <c r="AE232" i="1" s="1"/>
  <c r="AC37" i="1"/>
  <c r="AE37" i="1" s="1"/>
  <c r="AG37" i="1" s="1"/>
  <c r="AB37" i="1" s="1"/>
  <c r="AC102" i="1"/>
  <c r="AE102" i="1" s="1"/>
  <c r="AC401" i="1"/>
  <c r="AE401" i="1" s="1"/>
  <c r="AG401" i="1" s="1"/>
  <c r="AB401" i="1" s="1"/>
  <c r="AC166" i="1"/>
  <c r="AE166" i="1" s="1"/>
  <c r="AC160" i="1"/>
  <c r="AE160" i="1" s="1"/>
  <c r="AD287" i="1"/>
  <c r="AF287" i="1" s="1"/>
  <c r="AC339" i="1"/>
  <c r="AE339" i="1" s="1"/>
  <c r="H40" i="139" s="1"/>
  <c r="X42" i="1"/>
  <c r="X17" i="1"/>
  <c r="AC408" i="1"/>
  <c r="AE408" i="1" s="1"/>
  <c r="AC282" i="1"/>
  <c r="AE282" i="1" s="1"/>
  <c r="AC13" i="1"/>
  <c r="AD38" i="1"/>
  <c r="AF38" i="1" s="1"/>
  <c r="AD185" i="1"/>
  <c r="AF185" i="1" s="1"/>
  <c r="AG185" i="1" s="1"/>
  <c r="AB185" i="1" s="1"/>
  <c r="AC231" i="1"/>
  <c r="AE231" i="1" s="1"/>
  <c r="AC145" i="1"/>
  <c r="AE145" i="1" s="1"/>
  <c r="AC332" i="1"/>
  <c r="AE332" i="1" s="1"/>
  <c r="AD211" i="1"/>
  <c r="AF211" i="1" s="1"/>
  <c r="AG211" i="1" s="1"/>
  <c r="AB211" i="1" s="1"/>
  <c r="AC218" i="1"/>
  <c r="AE218" i="1" s="1"/>
  <c r="AG88" i="1"/>
  <c r="AB88" i="1" s="1"/>
  <c r="AG64" i="1"/>
  <c r="AB64" i="1" s="1"/>
  <c r="AG85" i="1"/>
  <c r="AB85" i="1" s="1"/>
  <c r="AG54" i="1"/>
  <c r="AB54" i="1" s="1"/>
  <c r="AG63" i="1"/>
  <c r="AB63" i="1" s="1"/>
  <c r="X34" i="1"/>
  <c r="AC53" i="1"/>
  <c r="AE53" i="1" s="1"/>
  <c r="AG347" i="1"/>
  <c r="AB347" i="1" s="1"/>
  <c r="AG60" i="1"/>
  <c r="AB60" i="1" s="1"/>
  <c r="AG89" i="1"/>
  <c r="AB89" i="1" s="1"/>
  <c r="AD99" i="1"/>
  <c r="AF99" i="1" s="1"/>
  <c r="AD310" i="1"/>
  <c r="AF310" i="1" s="1"/>
  <c r="AD397" i="1"/>
  <c r="AF397" i="1" s="1"/>
  <c r="AD284" i="1"/>
  <c r="AF284" i="1" s="1"/>
  <c r="AD220" i="1"/>
  <c r="AF220" i="1" s="1"/>
  <c r="X380" i="1"/>
  <c r="AC380" i="1"/>
  <c r="AE380" i="1" s="1"/>
  <c r="X106" i="1"/>
  <c r="AD116" i="1"/>
  <c r="AF116" i="1" s="1"/>
  <c r="AD356" i="1"/>
  <c r="AF356" i="1" s="1"/>
  <c r="AD148" i="1"/>
  <c r="AF148" i="1" s="1"/>
  <c r="AD136" i="1"/>
  <c r="AF136" i="1" s="1"/>
  <c r="AD410" i="1"/>
  <c r="AF410" i="1" s="1"/>
  <c r="AG410" i="1" s="1"/>
  <c r="AB410" i="1" s="1"/>
  <c r="X319" i="1"/>
  <c r="AC319" i="1"/>
  <c r="AE319" i="1" s="1"/>
  <c r="X158" i="1"/>
  <c r="AC158" i="1"/>
  <c r="AE158" i="1" s="1"/>
  <c r="AD172" i="1"/>
  <c r="AF172" i="1" s="1"/>
  <c r="X120" i="1"/>
  <c r="AC120" i="1"/>
  <c r="AE120" i="1" s="1"/>
  <c r="AG120" i="1" s="1"/>
  <c r="AB120" i="1" s="1"/>
  <c r="X119" i="1"/>
  <c r="AC119" i="1"/>
  <c r="AE119" i="1" s="1"/>
  <c r="AG119" i="1" s="1"/>
  <c r="AB119" i="1" s="1"/>
  <c r="AD312" i="1"/>
  <c r="AF312" i="1" s="1"/>
  <c r="AD361" i="1"/>
  <c r="AF361" i="1" s="1"/>
  <c r="X400" i="1"/>
  <c r="AC400" i="1"/>
  <c r="AE400" i="1" s="1"/>
  <c r="X141" i="1"/>
  <c r="AC141" i="1"/>
  <c r="AE141" i="1" s="1"/>
  <c r="X114" i="1"/>
  <c r="X405" i="1"/>
  <c r="AC405" i="1"/>
  <c r="AE405" i="1" s="1"/>
  <c r="AD105" i="1"/>
  <c r="AF105" i="1" s="1"/>
  <c r="X193" i="1"/>
  <c r="AC193" i="1"/>
  <c r="AE193" i="1" s="1"/>
  <c r="X304" i="1"/>
  <c r="AC304" i="1"/>
  <c r="AE304" i="1" s="1"/>
  <c r="X132" i="1"/>
  <c r="AC132" i="1"/>
  <c r="AE132" i="1" s="1"/>
  <c r="AG132" i="1" s="1"/>
  <c r="AB132" i="1" s="1"/>
  <c r="AD276" i="1"/>
  <c r="AF276" i="1" s="1"/>
  <c r="AD330" i="1"/>
  <c r="AF330" i="1" s="1"/>
  <c r="AD93" i="1"/>
  <c r="AF93" i="1" s="1"/>
  <c r="AD203" i="1"/>
  <c r="AF203" i="1" s="1"/>
  <c r="X276" i="1"/>
  <c r="AC276" i="1"/>
  <c r="AE276" i="1" s="1"/>
  <c r="AD194" i="1"/>
  <c r="AF194" i="1" s="1"/>
  <c r="X406" i="1"/>
  <c r="X238" i="1"/>
  <c r="AC238" i="1"/>
  <c r="AE238" i="1" s="1"/>
  <c r="AG238" i="1" s="1"/>
  <c r="AB238" i="1" s="1"/>
  <c r="X239" i="1"/>
  <c r="AD376" i="1"/>
  <c r="AF376" i="1" s="1"/>
  <c r="X326" i="1"/>
  <c r="AC326" i="1"/>
  <c r="AE326" i="1" s="1"/>
  <c r="AD333" i="1"/>
  <c r="AF333" i="1" s="1"/>
  <c r="AD363" i="1"/>
  <c r="AF363" i="1" s="1"/>
  <c r="X149" i="1"/>
  <c r="AC149" i="1"/>
  <c r="AE149" i="1" s="1"/>
  <c r="X309" i="1"/>
  <c r="AC309" i="1"/>
  <c r="AE309" i="1" s="1"/>
  <c r="AD334" i="1"/>
  <c r="AF334" i="1" s="1"/>
  <c r="AG409" i="1"/>
  <c r="AB409" i="1" s="1"/>
  <c r="AG65" i="1"/>
  <c r="AB65" i="1" s="1"/>
  <c r="X390" i="1"/>
  <c r="AC390" i="1"/>
  <c r="AE390" i="1" s="1"/>
  <c r="X371" i="1"/>
  <c r="AC371" i="1"/>
  <c r="AE371" i="1" s="1"/>
  <c r="AG92" i="1"/>
  <c r="AB92" i="1" s="1"/>
  <c r="X227" i="1"/>
  <c r="AG75" i="1"/>
  <c r="AB75" i="1" s="1"/>
  <c r="X359" i="1"/>
  <c r="AC359" i="1"/>
  <c r="AE359" i="1" s="1"/>
  <c r="X315" i="1"/>
  <c r="AC315" i="1"/>
  <c r="AE315" i="1" s="1"/>
  <c r="AD97" i="1"/>
  <c r="AF97" i="1" s="1"/>
  <c r="AD96" i="1"/>
  <c r="AF96" i="1" s="1"/>
  <c r="X110" i="1"/>
  <c r="AC110" i="1"/>
  <c r="AE110" i="1" s="1"/>
  <c r="AD291" i="1"/>
  <c r="AF291" i="1" s="1"/>
  <c r="AD174" i="1"/>
  <c r="AF174" i="1" s="1"/>
  <c r="AD223" i="1"/>
  <c r="AF223" i="1" s="1"/>
  <c r="AG223" i="1" s="1"/>
  <c r="AB223" i="1" s="1"/>
  <c r="X317" i="1"/>
  <c r="AC317" i="1"/>
  <c r="AE317" i="1" s="1"/>
  <c r="AD342" i="1"/>
  <c r="AF342" i="1" s="1"/>
  <c r="X402" i="1"/>
  <c r="AC402" i="1"/>
  <c r="AE402" i="1" s="1"/>
  <c r="X348" i="1"/>
  <c r="AC348" i="1"/>
  <c r="AE348" i="1" s="1"/>
  <c r="X351" i="1"/>
  <c r="AC351" i="1"/>
  <c r="AE351" i="1" s="1"/>
  <c r="AD198" i="1"/>
  <c r="AF198" i="1" s="1"/>
  <c r="AD114" i="1"/>
  <c r="AF114" i="1" s="1"/>
  <c r="AG114" i="1" s="1"/>
  <c r="AB114" i="1" s="1"/>
  <c r="AD243" i="1"/>
  <c r="AF243" i="1" s="1"/>
  <c r="AD352" i="1"/>
  <c r="AF352" i="1" s="1"/>
  <c r="AG352" i="1" s="1"/>
  <c r="AB352" i="1" s="1"/>
  <c r="X219" i="1"/>
  <c r="AC219" i="1"/>
  <c r="AE219" i="1" s="1"/>
  <c r="X134" i="1"/>
  <c r="AD350" i="1"/>
  <c r="AF350" i="1" s="1"/>
  <c r="X216" i="1"/>
  <c r="X290" i="1"/>
  <c r="AC290" i="1"/>
  <c r="AE290" i="1" s="1"/>
  <c r="H49" i="139" s="1"/>
  <c r="X282" i="1"/>
  <c r="AD329" i="1"/>
  <c r="AF329" i="1" s="1"/>
  <c r="X344" i="1"/>
  <c r="AC344" i="1"/>
  <c r="AE344" i="1" s="1"/>
  <c r="AD139" i="1"/>
  <c r="AF139" i="1" s="1"/>
  <c r="X345" i="1"/>
  <c r="AC345" i="1"/>
  <c r="AE345" i="1" s="1"/>
  <c r="AD326" i="1"/>
  <c r="AF326" i="1" s="1"/>
  <c r="AD239" i="1"/>
  <c r="AF239" i="1" s="1"/>
  <c r="AG239" i="1" s="1"/>
  <c r="AB239" i="1" s="1"/>
  <c r="AD205" i="1"/>
  <c r="AF205" i="1" s="1"/>
  <c r="AG205" i="1" s="1"/>
  <c r="AB205" i="1" s="1"/>
  <c r="AD224" i="1"/>
  <c r="AF224" i="1" s="1"/>
  <c r="AD278" i="1"/>
  <c r="AF278" i="1" s="1"/>
  <c r="AD407" i="1"/>
  <c r="AF407" i="1" s="1"/>
  <c r="X365" i="1"/>
  <c r="AC365" i="1"/>
  <c r="AE365" i="1" s="1"/>
  <c r="AD147" i="1"/>
  <c r="AF147" i="1" s="1"/>
  <c r="X228" i="1"/>
  <c r="AD324" i="1"/>
  <c r="AF324" i="1" s="1"/>
  <c r="AG324" i="1" s="1"/>
  <c r="AB324" i="1" s="1"/>
  <c r="AD141" i="1"/>
  <c r="AF141" i="1" s="1"/>
  <c r="X159" i="1"/>
  <c r="AC159" i="1"/>
  <c r="AE159" i="1" s="1"/>
  <c r="X171" i="1"/>
  <c r="AC171" i="1"/>
  <c r="AE171" i="1" s="1"/>
  <c r="AD297" i="1"/>
  <c r="AF297" i="1" s="1"/>
  <c r="X362" i="1"/>
  <c r="AC362" i="1"/>
  <c r="AE362" i="1" s="1"/>
  <c r="X117" i="1"/>
  <c r="AC117" i="1"/>
  <c r="AE117" i="1" s="1"/>
  <c r="AD180" i="1"/>
  <c r="AF180" i="1" s="1"/>
  <c r="AD305" i="1"/>
  <c r="AF305" i="1" s="1"/>
  <c r="X214" i="1"/>
  <c r="AC214" i="1"/>
  <c r="AE214" i="1" s="1"/>
  <c r="X145" i="1"/>
  <c r="X235" i="1"/>
  <c r="X376" i="1"/>
  <c r="AC376" i="1"/>
  <c r="AE376" i="1" s="1"/>
  <c r="AD143" i="1"/>
  <c r="AF143" i="1" s="1"/>
  <c r="AG143" i="1" s="1"/>
  <c r="AB143" i="1" s="1"/>
  <c r="AD320" i="1"/>
  <c r="AF320" i="1" s="1"/>
  <c r="AD101" i="1"/>
  <c r="AF101" i="1" s="1"/>
  <c r="X93" i="1"/>
  <c r="AC93" i="1"/>
  <c r="AE93" i="1" s="1"/>
  <c r="X127" i="1"/>
  <c r="AC127" i="1"/>
  <c r="AE127" i="1" s="1"/>
  <c r="AG127" i="1" s="1"/>
  <c r="AB127" i="1" s="1"/>
  <c r="X115" i="1"/>
  <c r="AC115" i="1"/>
  <c r="AE115" i="1" s="1"/>
  <c r="AD348" i="1"/>
  <c r="AF348" i="1" s="1"/>
  <c r="X297" i="1"/>
  <c r="AC297" i="1"/>
  <c r="AE297" i="1" s="1"/>
  <c r="X168" i="1"/>
  <c r="AC168" i="1"/>
  <c r="AE168" i="1" s="1"/>
  <c r="AD377" i="1"/>
  <c r="AF377" i="1" s="1"/>
  <c r="AG377" i="1" s="1"/>
  <c r="AB377" i="1" s="1"/>
  <c r="X176" i="1"/>
  <c r="AC176" i="1"/>
  <c r="AE176" i="1" s="1"/>
  <c r="AD275" i="1"/>
  <c r="AF275" i="1" s="1"/>
  <c r="X177" i="1"/>
  <c r="AC177" i="1"/>
  <c r="AE177" i="1" s="1"/>
  <c r="AD104" i="1"/>
  <c r="AF104" i="1" s="1"/>
  <c r="X363" i="1"/>
  <c r="AC363" i="1"/>
  <c r="AE363" i="1" s="1"/>
  <c r="X130" i="1"/>
  <c r="AC130" i="1"/>
  <c r="AE130" i="1" s="1"/>
  <c r="AG130" i="1" s="1"/>
  <c r="AB130" i="1" s="1"/>
  <c r="X332" i="1"/>
  <c r="X411" i="1"/>
  <c r="X280" i="1"/>
  <c r="X394" i="1"/>
  <c r="AD187" i="1"/>
  <c r="AF187" i="1" s="1"/>
  <c r="X338" i="1"/>
  <c r="AC338" i="1"/>
  <c r="AE338" i="1" s="1"/>
  <c r="AD382" i="1"/>
  <c r="AF382" i="1" s="1"/>
  <c r="X118" i="1"/>
  <c r="AC118" i="1"/>
  <c r="AE118" i="1" s="1"/>
  <c r="AD193" i="1"/>
  <c r="AF193" i="1" s="1"/>
  <c r="AD398" i="1"/>
  <c r="AF398" i="1" s="1"/>
  <c r="X152" i="1"/>
  <c r="AC152" i="1"/>
  <c r="AE152" i="1" s="1"/>
  <c r="AD178" i="1"/>
  <c r="AF178" i="1" s="1"/>
  <c r="X274" i="1"/>
  <c r="X157" i="1"/>
  <c r="AC157" i="1"/>
  <c r="AE157" i="1" s="1"/>
  <c r="AD314" i="1"/>
  <c r="AF314" i="1" s="1"/>
  <c r="X388" i="1"/>
  <c r="AC388" i="1"/>
  <c r="AE388" i="1" s="1"/>
  <c r="X263" i="1"/>
  <c r="AD137" i="1"/>
  <c r="AF137" i="1" s="1"/>
  <c r="X215" i="1"/>
  <c r="AD325" i="1"/>
  <c r="AF325" i="1" s="1"/>
  <c r="AD280" i="1"/>
  <c r="AF280" i="1" s="1"/>
  <c r="AG280" i="1" s="1"/>
  <c r="AB280" i="1" s="1"/>
  <c r="AD351" i="1"/>
  <c r="AF351" i="1" s="1"/>
  <c r="X316" i="1"/>
  <c r="AC316" i="1"/>
  <c r="AE316" i="1" s="1"/>
  <c r="AD107" i="1"/>
  <c r="AF107" i="1" s="1"/>
  <c r="X391" i="1"/>
  <c r="AC391" i="1"/>
  <c r="AE391" i="1" s="1"/>
  <c r="AD393" i="1"/>
  <c r="AF393" i="1" s="1"/>
  <c r="X298" i="1"/>
  <c r="AC298" i="1"/>
  <c r="AE298" i="1" s="1"/>
  <c r="X259" i="1"/>
  <c r="X147" i="1"/>
  <c r="AC147" i="1"/>
  <c r="AE147" i="1" s="1"/>
  <c r="X267" i="1"/>
  <c r="X135" i="1"/>
  <c r="AC135" i="1"/>
  <c r="AE135" i="1" s="1"/>
  <c r="X95" i="1"/>
  <c r="AC95" i="1"/>
  <c r="AE95" i="1" s="1"/>
  <c r="AD154" i="1"/>
  <c r="AF154" i="1" s="1"/>
  <c r="X143" i="1"/>
  <c r="X231" i="1"/>
  <c r="AD179" i="1"/>
  <c r="AF179" i="1" s="1"/>
  <c r="X94" i="1"/>
  <c r="AC94" i="1"/>
  <c r="AE94" i="1" s="1"/>
  <c r="X213" i="1"/>
  <c r="AC213" i="1"/>
  <c r="AE213" i="1" s="1"/>
  <c r="AG213" i="1" s="1"/>
  <c r="AB213" i="1" s="1"/>
  <c r="AD381" i="1"/>
  <c r="AF381" i="1" s="1"/>
  <c r="AG61" i="1"/>
  <c r="AB61" i="1" s="1"/>
  <c r="AD362" i="1"/>
  <c r="AF362" i="1" s="1"/>
  <c r="AD307" i="1"/>
  <c r="AF307" i="1" s="1"/>
  <c r="X195" i="1"/>
  <c r="AC195" i="1"/>
  <c r="AE195" i="1" s="1"/>
  <c r="X258" i="1"/>
  <c r="X279" i="1"/>
  <c r="AC279" i="1"/>
  <c r="AE279" i="1" s="1"/>
  <c r="X407" i="1"/>
  <c r="AC407" i="1"/>
  <c r="AE407" i="1" s="1"/>
  <c r="X105" i="1"/>
  <c r="AC105" i="1"/>
  <c r="AE105" i="1" s="1"/>
  <c r="X244" i="1"/>
  <c r="X385" i="1"/>
  <c r="AD182" i="1"/>
  <c r="AF182" i="1" s="1"/>
  <c r="X392" i="1"/>
  <c r="X250" i="1"/>
  <c r="AC250" i="1"/>
  <c r="AE250" i="1" s="1"/>
  <c r="X230" i="1"/>
  <c r="AC230" i="1"/>
  <c r="AE230" i="1" s="1"/>
  <c r="X96" i="1"/>
  <c r="AC96" i="1"/>
  <c r="AE96" i="1" s="1"/>
  <c r="AD118" i="1"/>
  <c r="AF118" i="1" s="1"/>
  <c r="X129" i="1"/>
  <c r="AD160" i="1"/>
  <c r="AF160" i="1" s="1"/>
  <c r="AD149" i="1"/>
  <c r="AF149" i="1" s="1"/>
  <c r="AD222" i="1"/>
  <c r="AF222" i="1" s="1"/>
  <c r="AD208" i="1"/>
  <c r="AF208" i="1" s="1"/>
  <c r="X217" i="1"/>
  <c r="AC217" i="1"/>
  <c r="AE217" i="1" s="1"/>
  <c r="X346" i="1"/>
  <c r="AD406" i="1"/>
  <c r="AF406" i="1" s="1"/>
  <c r="AG406" i="1" s="1"/>
  <c r="AB406" i="1" s="1"/>
  <c r="X97" i="1"/>
  <c r="AC97" i="1"/>
  <c r="AE97" i="1" s="1"/>
  <c r="X254" i="1"/>
  <c r="X387" i="1"/>
  <c r="AC387" i="1"/>
  <c r="AE387" i="1" s="1"/>
  <c r="AD313" i="1"/>
  <c r="AF313" i="1" s="1"/>
  <c r="X382" i="1"/>
  <c r="AC382" i="1"/>
  <c r="AE382" i="1" s="1"/>
  <c r="X368" i="1"/>
  <c r="AC368" i="1"/>
  <c r="AE368" i="1" s="1"/>
  <c r="X301" i="1"/>
  <c r="AC301" i="1"/>
  <c r="AE301" i="1" s="1"/>
  <c r="AD357" i="1"/>
  <c r="AF357" i="1" s="1"/>
  <c r="AD404" i="1"/>
  <c r="AF404" i="1" s="1"/>
  <c r="AG404" i="1" s="1"/>
  <c r="AB404" i="1" s="1"/>
  <c r="X126" i="1"/>
  <c r="AC126" i="1"/>
  <c r="AE126" i="1" s="1"/>
  <c r="AG126" i="1" s="1"/>
  <c r="AB126" i="1" s="1"/>
  <c r="X109" i="1"/>
  <c r="AG87" i="1"/>
  <c r="AB87" i="1" s="1"/>
  <c r="X393" i="1"/>
  <c r="AC393" i="1"/>
  <c r="AE393" i="1" s="1"/>
  <c r="X150" i="1"/>
  <c r="AC150" i="1"/>
  <c r="AE150" i="1" s="1"/>
  <c r="X294" i="1"/>
  <c r="X353" i="1"/>
  <c r="X325" i="1"/>
  <c r="AC325" i="1"/>
  <c r="AE325" i="1" s="1"/>
  <c r="AD309" i="1"/>
  <c r="AF309" i="1" s="1"/>
  <c r="X370" i="1"/>
  <c r="AC370" i="1"/>
  <c r="AE370" i="1" s="1"/>
  <c r="X303" i="1"/>
  <c r="AC303" i="1"/>
  <c r="AE303" i="1" s="1"/>
  <c r="AG303" i="1" s="1"/>
  <c r="AB303" i="1" s="1"/>
  <c r="X124" i="1"/>
  <c r="AC124" i="1"/>
  <c r="AE124" i="1" s="1"/>
  <c r="AG124" i="1" s="1"/>
  <c r="AB124" i="1" s="1"/>
  <c r="AD294" i="1"/>
  <c r="AF294" i="1" s="1"/>
  <c r="AG294" i="1" s="1"/>
  <c r="AB294" i="1" s="1"/>
  <c r="AD260" i="1"/>
  <c r="AF260" i="1" s="1"/>
  <c r="X389" i="1"/>
  <c r="AC389" i="1"/>
  <c r="AE389" i="1" s="1"/>
  <c r="X225" i="1"/>
  <c r="AC225" i="1"/>
  <c r="AE225" i="1" s="1"/>
  <c r="AG225" i="1" s="1"/>
  <c r="AB225" i="1" s="1"/>
  <c r="X360" i="1"/>
  <c r="AC360" i="1"/>
  <c r="AE360" i="1" s="1"/>
  <c r="AD379" i="1"/>
  <c r="AF379" i="1" s="1"/>
  <c r="X220" i="1"/>
  <c r="AC220" i="1"/>
  <c r="AE220" i="1" s="1"/>
  <c r="X273" i="1"/>
  <c r="AG71" i="1"/>
  <c r="AB71" i="1" s="1"/>
  <c r="X196" i="1"/>
  <c r="X403" i="1"/>
  <c r="X262" i="1"/>
  <c r="AD156" i="1"/>
  <c r="AF156" i="1" s="1"/>
  <c r="X295" i="1"/>
  <c r="AC295" i="1"/>
  <c r="AE295" i="1" s="1"/>
  <c r="AG295" i="1" s="1"/>
  <c r="AB295" i="1" s="1"/>
  <c r="AD140" i="1"/>
  <c r="AF140" i="1" s="1"/>
  <c r="AD201" i="1"/>
  <c r="AF201" i="1" s="1"/>
  <c r="X357" i="1"/>
  <c r="AC357" i="1"/>
  <c r="AE357" i="1" s="1"/>
  <c r="X116" i="1"/>
  <c r="AC116" i="1"/>
  <c r="AE116" i="1" s="1"/>
  <c r="AD102" i="1"/>
  <c r="AF102" i="1" s="1"/>
  <c r="AD343" i="1"/>
  <c r="AF343" i="1" s="1"/>
  <c r="AG343" i="1" s="1"/>
  <c r="AB343" i="1" s="1"/>
  <c r="AD111" i="1"/>
  <c r="AF111" i="1" s="1"/>
  <c r="X312" i="1"/>
  <c r="AC312" i="1"/>
  <c r="AE312" i="1" s="1"/>
  <c r="X324" i="1"/>
  <c r="X396" i="1"/>
  <c r="AC396" i="1"/>
  <c r="AE396" i="1" s="1"/>
  <c r="X194" i="1"/>
  <c r="AC194" i="1"/>
  <c r="AE194" i="1" s="1"/>
  <c r="X286" i="1"/>
  <c r="AC286" i="1"/>
  <c r="AE286" i="1" s="1"/>
  <c r="AG286" i="1" s="1"/>
  <c r="AB286" i="1" s="1"/>
  <c r="X218" i="1"/>
  <c r="X310" i="1"/>
  <c r="AC310" i="1"/>
  <c r="AE310" i="1" s="1"/>
  <c r="AD229" i="1"/>
  <c r="AF229" i="1" s="1"/>
  <c r="AG229" i="1" s="1"/>
  <c r="AB229" i="1" s="1"/>
  <c r="AD405" i="1"/>
  <c r="AF405" i="1" s="1"/>
  <c r="X318" i="1"/>
  <c r="AC318" i="1"/>
  <c r="AE318" i="1" s="1"/>
  <c r="AD366" i="1"/>
  <c r="AF366" i="1" s="1"/>
  <c r="AD396" i="1"/>
  <c r="AF396" i="1" s="1"/>
  <c r="X112" i="1"/>
  <c r="X211" i="1"/>
  <c r="AD152" i="1"/>
  <c r="AF152" i="1" s="1"/>
  <c r="X139" i="1"/>
  <c r="AC139" i="1"/>
  <c r="AE139" i="1" s="1"/>
  <c r="X154" i="1"/>
  <c r="AC154" i="1"/>
  <c r="AE154" i="1" s="1"/>
  <c r="X223" i="1"/>
  <c r="X395" i="1"/>
  <c r="AC395" i="1"/>
  <c r="AE395" i="1" s="1"/>
  <c r="AD331" i="1"/>
  <c r="AF331" i="1" s="1"/>
  <c r="AD157" i="1"/>
  <c r="AF157" i="1" s="1"/>
  <c r="X372" i="1"/>
  <c r="X306" i="1"/>
  <c r="AC306" i="1"/>
  <c r="AE306" i="1" s="1"/>
  <c r="AD181" i="1"/>
  <c r="AF181" i="1" s="1"/>
  <c r="AD288" i="1"/>
  <c r="AF288" i="1" s="1"/>
  <c r="AG288" i="1" s="1"/>
  <c r="AB288" i="1" s="1"/>
  <c r="AD346" i="1"/>
  <c r="AF346" i="1" s="1"/>
  <c r="AG346" i="1" s="1"/>
  <c r="AB346" i="1" s="1"/>
  <c r="AD368" i="1"/>
  <c r="AF368" i="1" s="1"/>
  <c r="X361" i="1"/>
  <c r="AC361" i="1"/>
  <c r="AE361" i="1" s="1"/>
  <c r="X397" i="1"/>
  <c r="AC397" i="1"/>
  <c r="AE397" i="1" s="1"/>
  <c r="X212" i="1"/>
  <c r="AC212" i="1"/>
  <c r="AE212" i="1" s="1"/>
  <c r="AG212" i="1" s="1"/>
  <c r="AB212" i="1" s="1"/>
  <c r="AD250" i="1"/>
  <c r="AF250" i="1" s="1"/>
  <c r="X245" i="1"/>
  <c r="AD192" i="1"/>
  <c r="AF192" i="1" s="1"/>
  <c r="X327" i="1"/>
  <c r="AC327" i="1"/>
  <c r="AE327" i="1" s="1"/>
  <c r="AG327" i="1" s="1"/>
  <c r="AB327" i="1" s="1"/>
  <c r="AD197" i="1"/>
  <c r="AF197" i="1" s="1"/>
  <c r="AD340" i="1"/>
  <c r="AF340" i="1" s="1"/>
  <c r="AD219" i="1"/>
  <c r="AF219" i="1" s="1"/>
  <c r="X136" i="1"/>
  <c r="AC136" i="1"/>
  <c r="AE136" i="1" s="1"/>
  <c r="X172" i="1"/>
  <c r="AC172" i="1"/>
  <c r="AE172" i="1" s="1"/>
  <c r="X285" i="1"/>
  <c r="AC285" i="1"/>
  <c r="AE285" i="1" s="1"/>
  <c r="AD146" i="1"/>
  <c r="AF146" i="1" s="1"/>
  <c r="AG146" i="1" s="1"/>
  <c r="AB146" i="1" s="1"/>
  <c r="AD322" i="1"/>
  <c r="AF322" i="1" s="1"/>
  <c r="AD311" i="1"/>
  <c r="AF311" i="1" s="1"/>
  <c r="X113" i="1"/>
  <c r="X146" i="1"/>
  <c r="X408" i="1"/>
  <c r="AD142" i="1"/>
  <c r="AF142" i="1" s="1"/>
  <c r="X140" i="1"/>
  <c r="AC140" i="1"/>
  <c r="AE140" i="1" s="1"/>
  <c r="AD204" i="1"/>
  <c r="AF204" i="1" s="1"/>
  <c r="AD319" i="1"/>
  <c r="AF319" i="1" s="1"/>
  <c r="X155" i="1"/>
  <c r="AC155" i="1"/>
  <c r="AE155" i="1" s="1"/>
  <c r="AD115" i="1"/>
  <c r="AF115" i="1" s="1"/>
  <c r="AD188" i="1"/>
  <c r="AF188" i="1" s="1"/>
  <c r="X366" i="1"/>
  <c r="AC366" i="1"/>
  <c r="AE366" i="1" s="1"/>
  <c r="X275" i="1"/>
  <c r="AC275" i="1"/>
  <c r="AE275" i="1" s="1"/>
  <c r="X185" i="1"/>
  <c r="AD261" i="1"/>
  <c r="AF261" i="1" s="1"/>
  <c r="AD392" i="1"/>
  <c r="AF392" i="1" s="1"/>
  <c r="AG392" i="1" s="1"/>
  <c r="AB392" i="1" s="1"/>
  <c r="X333" i="1"/>
  <c r="AC333" i="1"/>
  <c r="AE333" i="1" s="1"/>
  <c r="X313" i="1"/>
  <c r="AC313" i="1"/>
  <c r="AE313" i="1" s="1"/>
  <c r="X328" i="1"/>
  <c r="AC328" i="1"/>
  <c r="AE328" i="1" s="1"/>
  <c r="AD98" i="1"/>
  <c r="AF98" i="1" s="1"/>
  <c r="AD189" i="1"/>
  <c r="AF189" i="1" s="1"/>
  <c r="X342" i="1"/>
  <c r="AC342" i="1"/>
  <c r="AE342" i="1" s="1"/>
  <c r="X337" i="1"/>
  <c r="AC337" i="1"/>
  <c r="AE337" i="1" s="1"/>
  <c r="AG337" i="1" s="1"/>
  <c r="AB337" i="1" s="1"/>
  <c r="AD292" i="1"/>
  <c r="AF292" i="1" s="1"/>
  <c r="AD349" i="1"/>
  <c r="AF349" i="1" s="1"/>
  <c r="AD210" i="1"/>
  <c r="AF210" i="1" s="1"/>
  <c r="X281" i="1"/>
  <c r="AC281" i="1"/>
  <c r="AE281" i="1" s="1"/>
  <c r="X151" i="1"/>
  <c r="AD117" i="1"/>
  <c r="AF117" i="1" s="1"/>
  <c r="X247" i="1"/>
  <c r="AD206" i="1"/>
  <c r="AF206" i="1" s="1"/>
  <c r="X381" i="1"/>
  <c r="AC381" i="1"/>
  <c r="AE381" i="1" s="1"/>
  <c r="X203" i="1"/>
  <c r="AC203" i="1"/>
  <c r="AE203" i="1" s="1"/>
  <c r="X207" i="1"/>
  <c r="AC207" i="1"/>
  <c r="AE207" i="1" s="1"/>
  <c r="X248" i="1"/>
  <c r="X300" i="1"/>
  <c r="AD373" i="1"/>
  <c r="AF373" i="1" s="1"/>
  <c r="AG373" i="1" s="1"/>
  <c r="AB373" i="1" s="1"/>
  <c r="X234" i="1"/>
  <c r="AC234" i="1"/>
  <c r="AE234" i="1" s="1"/>
  <c r="AG234" i="1" s="1"/>
  <c r="AB234" i="1" s="1"/>
  <c r="X107" i="1"/>
  <c r="AC107" i="1"/>
  <c r="AE107" i="1" s="1"/>
  <c r="AD285" i="1"/>
  <c r="AF285" i="1" s="1"/>
  <c r="X289" i="1"/>
  <c r="AD372" i="1"/>
  <c r="AF372" i="1" s="1"/>
  <c r="AG372" i="1" s="1"/>
  <c r="AB372" i="1" s="1"/>
  <c r="X311" i="1"/>
  <c r="AC311" i="1"/>
  <c r="AE311" i="1" s="1"/>
  <c r="X308" i="1"/>
  <c r="AC308" i="1"/>
  <c r="AE308" i="1" s="1"/>
  <c r="X164" i="1"/>
  <c r="X356" i="1"/>
  <c r="AC356" i="1"/>
  <c r="AE356" i="1" s="1"/>
  <c r="AD323" i="1"/>
  <c r="AF323" i="1" s="1"/>
  <c r="X162" i="1"/>
  <c r="AC162" i="1"/>
  <c r="AE162" i="1" s="1"/>
  <c r="X236" i="1"/>
  <c r="AC236" i="1"/>
  <c r="AE236" i="1" s="1"/>
  <c r="AG236" i="1" s="1"/>
  <c r="AB236" i="1" s="1"/>
  <c r="AD364" i="1"/>
  <c r="AF364" i="1" s="1"/>
  <c r="X268" i="1"/>
  <c r="X257" i="1"/>
  <c r="AC257" i="1"/>
  <c r="AE257" i="1" s="1"/>
  <c r="AD95" i="1"/>
  <c r="AF95" i="1" s="1"/>
  <c r="X369" i="1"/>
  <c r="X122" i="1"/>
  <c r="AC122" i="1"/>
  <c r="AE122" i="1" s="1"/>
  <c r="AG122" i="1" s="1"/>
  <c r="AB122" i="1" s="1"/>
  <c r="AD300" i="1"/>
  <c r="AF300" i="1" s="1"/>
  <c r="AG300" i="1" s="1"/>
  <c r="AB300" i="1" s="1"/>
  <c r="AD218" i="1"/>
  <c r="AF218" i="1" s="1"/>
  <c r="AD129" i="1"/>
  <c r="AF129" i="1" s="1"/>
  <c r="AG129" i="1" s="1"/>
  <c r="AB129" i="1" s="1"/>
  <c r="AD195" i="1"/>
  <c r="AF195" i="1" s="1"/>
  <c r="X144" i="1"/>
  <c r="X404" i="1"/>
  <c r="AD209" i="1"/>
  <c r="AF209" i="1" s="1"/>
  <c r="X167" i="1"/>
  <c r="AC167" i="1"/>
  <c r="AE167" i="1" s="1"/>
  <c r="X190" i="1"/>
  <c r="AC190" i="1"/>
  <c r="AE190" i="1" s="1"/>
  <c r="X108" i="1"/>
  <c r="AC108" i="1"/>
  <c r="AE108" i="1" s="1"/>
  <c r="X412" i="1"/>
  <c r="X354" i="1"/>
  <c r="AC354" i="1"/>
  <c r="AE354" i="1" s="1"/>
  <c r="X399" i="1"/>
  <c r="X178" i="1"/>
  <c r="AC178" i="1"/>
  <c r="AE178" i="1" s="1"/>
  <c r="X243" i="1"/>
  <c r="X291" i="1"/>
  <c r="AC291" i="1"/>
  <c r="AE291" i="1" s="1"/>
  <c r="H42" i="139" s="1"/>
  <c r="X187" i="1"/>
  <c r="AC187" i="1"/>
  <c r="AE187" i="1" s="1"/>
  <c r="AD316" i="1"/>
  <c r="AF316" i="1" s="1"/>
  <c r="X246" i="1"/>
  <c r="AC246" i="1"/>
  <c r="AE246" i="1" s="1"/>
  <c r="AG246" i="1" s="1"/>
  <c r="AB246" i="1" s="1"/>
  <c r="AD138" i="1"/>
  <c r="AF138" i="1" s="1"/>
  <c r="X104" i="1"/>
  <c r="AC104" i="1"/>
  <c r="AE104" i="1" s="1"/>
  <c r="AD332" i="1"/>
  <c r="AF332" i="1" s="1"/>
  <c r="AG76" i="1"/>
  <c r="AB76" i="1" s="1"/>
  <c r="AD317" i="1"/>
  <c r="AF317" i="1" s="1"/>
  <c r="AG84" i="1"/>
  <c r="AB84" i="1" s="1"/>
  <c r="X383" i="1"/>
  <c r="AC383" i="1"/>
  <c r="AE383" i="1" s="1"/>
  <c r="AD344" i="1"/>
  <c r="AF344" i="1" s="1"/>
  <c r="X358" i="1"/>
  <c r="AC358" i="1"/>
  <c r="AE358" i="1" s="1"/>
  <c r="AG358" i="1" s="1"/>
  <c r="AB358" i="1" s="1"/>
  <c r="X269" i="1"/>
  <c r="X206" i="1"/>
  <c r="AC206" i="1"/>
  <c r="AE206" i="1" s="1"/>
  <c r="X224" i="1"/>
  <c r="AC224" i="1"/>
  <c r="AE224" i="1" s="1"/>
  <c r="AD391" i="1"/>
  <c r="AF391" i="1" s="1"/>
  <c r="X226" i="1"/>
  <c r="X341" i="1"/>
  <c r="AC341" i="1"/>
  <c r="AE341" i="1" s="1"/>
  <c r="AD158" i="1"/>
  <c r="AF158" i="1" s="1"/>
  <c r="AD298" i="1"/>
  <c r="AF298" i="1" s="1"/>
  <c r="X377" i="1"/>
  <c r="X121" i="1"/>
  <c r="AC121" i="1"/>
  <c r="AE121" i="1" s="1"/>
  <c r="AG121" i="1" s="1"/>
  <c r="AB121" i="1" s="1"/>
  <c r="X320" i="1"/>
  <c r="AC320" i="1"/>
  <c r="AE320" i="1" s="1"/>
  <c r="AD227" i="1"/>
  <c r="AF227" i="1" s="1"/>
  <c r="AG227" i="1" s="1"/>
  <c r="AB227" i="1" s="1"/>
  <c r="AD161" i="1"/>
  <c r="AF161" i="1" s="1"/>
  <c r="AG67" i="1"/>
  <c r="AB67" i="1" s="1"/>
  <c r="AG70" i="1"/>
  <c r="AB70" i="1" s="1"/>
  <c r="X180" i="1"/>
  <c r="AC180" i="1"/>
  <c r="AE180" i="1" s="1"/>
  <c r="AD283" i="1"/>
  <c r="AF283" i="1" s="1"/>
  <c r="X335" i="1"/>
  <c r="AD184" i="1"/>
  <c r="AF184" i="1" s="1"/>
  <c r="X384" i="1"/>
  <c r="X343" i="1"/>
  <c r="X229" i="1"/>
  <c r="AD191" i="1"/>
  <c r="AF191" i="1" s="1"/>
  <c r="X165" i="1"/>
  <c r="AC165" i="1"/>
  <c r="AE165" i="1" s="1"/>
  <c r="AG165" i="1" s="1"/>
  <c r="AB165" i="1" s="1"/>
  <c r="AD190" i="1"/>
  <c r="AF190" i="1" s="1"/>
  <c r="X340" i="1"/>
  <c r="AC340" i="1"/>
  <c r="AE340" i="1" s="1"/>
  <c r="AD328" i="1"/>
  <c r="AF328" i="1" s="1"/>
  <c r="X198" i="1"/>
  <c r="AC198" i="1"/>
  <c r="AE198" i="1" s="1"/>
  <c r="AD113" i="1"/>
  <c r="AF113" i="1" s="1"/>
  <c r="AG113" i="1" s="1"/>
  <c r="AB113" i="1" s="1"/>
  <c r="AD375" i="1"/>
  <c r="AF375" i="1" s="1"/>
  <c r="X314" i="1"/>
  <c r="AC314" i="1"/>
  <c r="AE314" i="1" s="1"/>
  <c r="X142" i="1"/>
  <c r="AC142" i="1"/>
  <c r="AE142" i="1" s="1"/>
  <c r="X137" i="1"/>
  <c r="AC137" i="1"/>
  <c r="AE137" i="1" s="1"/>
  <c r="X364" i="1"/>
  <c r="AC364" i="1"/>
  <c r="AE364" i="1" s="1"/>
  <c r="AG364" i="1" s="1"/>
  <c r="AB364" i="1" s="1"/>
  <c r="X204" i="1"/>
  <c r="AC204" i="1"/>
  <c r="AE204" i="1" s="1"/>
  <c r="X102" i="1"/>
  <c r="X210" i="1"/>
  <c r="AC210" i="1"/>
  <c r="AE210" i="1" s="1"/>
  <c r="AG210" i="1" s="1"/>
  <c r="AB210" i="1" s="1"/>
  <c r="X277" i="1"/>
  <c r="AC277" i="1"/>
  <c r="AE277" i="1" s="1"/>
  <c r="AD299" i="1"/>
  <c r="AF299" i="1" s="1"/>
  <c r="X401" i="1"/>
  <c r="AD159" i="1"/>
  <c r="AF159" i="1" s="1"/>
  <c r="X183" i="1"/>
  <c r="X293" i="1"/>
  <c r="AC293" i="1"/>
  <c r="AE293" i="1" s="1"/>
  <c r="AG293" i="1" s="1"/>
  <c r="AB293" i="1" s="1"/>
  <c r="AD341" i="1"/>
  <c r="AF341" i="1" s="1"/>
  <c r="AD279" i="1"/>
  <c r="AF279" i="1" s="1"/>
  <c r="AD315" i="1"/>
  <c r="AF315" i="1" s="1"/>
  <c r="AD345" i="1"/>
  <c r="AF345" i="1" s="1"/>
  <c r="X323" i="1"/>
  <c r="AC323" i="1"/>
  <c r="AE323" i="1" s="1"/>
  <c r="X201" i="1"/>
  <c r="AC201" i="1"/>
  <c r="AE201" i="1" s="1"/>
  <c r="AD173" i="1"/>
  <c r="AF173" i="1" s="1"/>
  <c r="X299" i="1"/>
  <c r="AC299" i="1"/>
  <c r="AE299" i="1" s="1"/>
  <c r="X128" i="1"/>
  <c r="AC128" i="1"/>
  <c r="AE128" i="1" s="1"/>
  <c r="AG128" i="1" s="1"/>
  <c r="AB128" i="1" s="1"/>
  <c r="AD386" i="1"/>
  <c r="AF386" i="1" s="1"/>
  <c r="AG386" i="1" s="1"/>
  <c r="AB386" i="1" s="1"/>
  <c r="AD400" i="1"/>
  <c r="AF400" i="1" s="1"/>
  <c r="AD94" i="1"/>
  <c r="AF94" i="1" s="1"/>
  <c r="X170" i="1"/>
  <c r="AC170" i="1"/>
  <c r="AE170" i="1" s="1"/>
  <c r="X322" i="1"/>
  <c r="AC322" i="1"/>
  <c r="AE322" i="1" s="1"/>
  <c r="X232" i="1"/>
  <c r="X133" i="1"/>
  <c r="AD308" i="1"/>
  <c r="AF308" i="1" s="1"/>
  <c r="X101" i="1"/>
  <c r="AC101" i="1"/>
  <c r="AE101" i="1" s="1"/>
  <c r="AG62" i="1"/>
  <c r="AB62" i="1" s="1"/>
  <c r="X334" i="1"/>
  <c r="AC334" i="1"/>
  <c r="AE334" i="1" s="1"/>
  <c r="X283" i="1"/>
  <c r="AC283" i="1"/>
  <c r="AE283" i="1" s="1"/>
  <c r="AD100" i="1"/>
  <c r="AF100" i="1" s="1"/>
  <c r="AD175" i="1"/>
  <c r="AF175" i="1" s="1"/>
  <c r="X163" i="1"/>
  <c r="X271" i="1"/>
  <c r="AD259" i="1"/>
  <c r="AF259" i="1" s="1"/>
  <c r="AG259" i="1" s="1"/>
  <c r="AB259" i="1" s="1"/>
  <c r="AD109" i="1"/>
  <c r="AF109" i="1" s="1"/>
  <c r="AG109" i="1" s="1"/>
  <c r="AB109" i="1" s="1"/>
  <c r="X296" i="1"/>
  <c r="AC296" i="1"/>
  <c r="AE296" i="1" s="1"/>
  <c r="AD338" i="1"/>
  <c r="AF338" i="1" s="1"/>
  <c r="AG69" i="1"/>
  <c r="AB69" i="1" s="1"/>
  <c r="X166" i="1"/>
  <c r="AD135" i="1"/>
  <c r="AF135" i="1" s="1"/>
  <c r="X186" i="1"/>
  <c r="AD383" i="1"/>
  <c r="AF383" i="1" s="1"/>
  <c r="X99" i="1"/>
  <c r="AC99" i="1"/>
  <c r="AE99" i="1" s="1"/>
  <c r="X192" i="1"/>
  <c r="AC192" i="1"/>
  <c r="AE192" i="1" s="1"/>
  <c r="AD170" i="1"/>
  <c r="AF170" i="1" s="1"/>
  <c r="AD167" i="1"/>
  <c r="AF167" i="1" s="1"/>
  <c r="AD168" i="1"/>
  <c r="AF168" i="1" s="1"/>
  <c r="X367" i="1"/>
  <c r="AC367" i="1"/>
  <c r="AE367" i="1" s="1"/>
  <c r="X352" i="1"/>
  <c r="X125" i="1"/>
  <c r="AC125" i="1"/>
  <c r="AE125" i="1" s="1"/>
  <c r="AG125" i="1" s="1"/>
  <c r="AB125" i="1" s="1"/>
  <c r="AD232" i="1"/>
  <c r="AF232" i="1" s="1"/>
  <c r="AD374" i="1"/>
  <c r="AF374" i="1" s="1"/>
  <c r="X398" i="1"/>
  <c r="AC398" i="1"/>
  <c r="AE398" i="1" s="1"/>
  <c r="AD217" i="1"/>
  <c r="AF217" i="1" s="1"/>
  <c r="X208" i="1"/>
  <c r="AC208" i="1"/>
  <c r="AE208" i="1" s="1"/>
  <c r="X205" i="1"/>
  <c r="AD389" i="1"/>
  <c r="AF389" i="1" s="1"/>
  <c r="X100" i="1"/>
  <c r="AC100" i="1"/>
  <c r="AE100" i="1" s="1"/>
  <c r="AD202" i="1"/>
  <c r="AF202" i="1" s="1"/>
  <c r="X261" i="1"/>
  <c r="AC261" i="1"/>
  <c r="AE261" i="1" s="1"/>
  <c r="X349" i="1"/>
  <c r="AC349" i="1"/>
  <c r="AE349" i="1" s="1"/>
  <c r="AD231" i="1"/>
  <c r="AF231" i="1" s="1"/>
  <c r="X189" i="1"/>
  <c r="AC189" i="1"/>
  <c r="AE189" i="1" s="1"/>
  <c r="AD371" i="1"/>
  <c r="AF371" i="1" s="1"/>
  <c r="X182" i="1"/>
  <c r="AC182" i="1"/>
  <c r="AE182" i="1" s="1"/>
  <c r="AD177" i="1"/>
  <c r="AF177" i="1" s="1"/>
  <c r="X233" i="1"/>
  <c r="X222" i="1"/>
  <c r="AC222" i="1"/>
  <c r="AE222" i="1" s="1"/>
  <c r="X174" i="1"/>
  <c r="AC174" i="1"/>
  <c r="AE174" i="1" s="1"/>
  <c r="AD365" i="1"/>
  <c r="AF365" i="1" s="1"/>
  <c r="X169" i="1"/>
  <c r="AC169" i="1"/>
  <c r="AE169" i="1" s="1"/>
  <c r="X173" i="1"/>
  <c r="AC173" i="1"/>
  <c r="AE173" i="1" s="1"/>
  <c r="AD281" i="1"/>
  <c r="AF281" i="1" s="1"/>
  <c r="AD402" i="1"/>
  <c r="AF402" i="1" s="1"/>
  <c r="X98" i="1"/>
  <c r="AC98" i="1"/>
  <c r="AE98" i="1" s="1"/>
  <c r="X373" i="1"/>
  <c r="AD166" i="1"/>
  <c r="AF166" i="1" s="1"/>
  <c r="X329" i="1"/>
  <c r="AC329" i="1"/>
  <c r="AE329" i="1" s="1"/>
  <c r="X330" i="1"/>
  <c r="AC330" i="1"/>
  <c r="AE330" i="1" s="1"/>
  <c r="X374" i="1"/>
  <c r="AC374" i="1"/>
  <c r="AE374" i="1" s="1"/>
  <c r="X305" i="1"/>
  <c r="AC305" i="1"/>
  <c r="AE305" i="1" s="1"/>
  <c r="X160" i="1"/>
  <c r="AD145" i="1"/>
  <c r="AF145" i="1" s="1"/>
  <c r="AD133" i="1"/>
  <c r="AF133" i="1" s="1"/>
  <c r="AG133" i="1" s="1"/>
  <c r="AB133" i="1" s="1"/>
  <c r="AD367" i="1"/>
  <c r="AF367" i="1" s="1"/>
  <c r="X379" i="1"/>
  <c r="AC379" i="1"/>
  <c r="AE379" i="1" s="1"/>
  <c r="X350" i="1"/>
  <c r="AC350" i="1"/>
  <c r="AE350" i="1" s="1"/>
  <c r="X355" i="1"/>
  <c r="AC355" i="1"/>
  <c r="AE355" i="1" s="1"/>
  <c r="AD257" i="1"/>
  <c r="AF257" i="1" s="1"/>
  <c r="X251" i="1"/>
  <c r="AD301" i="1"/>
  <c r="AF301" i="1" s="1"/>
  <c r="X148" i="1"/>
  <c r="AC148" i="1"/>
  <c r="AE148" i="1" s="1"/>
  <c r="X386" i="1"/>
  <c r="X249" i="1"/>
  <c r="AC249" i="1"/>
  <c r="AE249" i="1" s="1"/>
  <c r="AG249" i="1" s="1"/>
  <c r="AB249" i="1" s="1"/>
  <c r="X240" i="1"/>
  <c r="AC240" i="1"/>
  <c r="AE240" i="1" s="1"/>
  <c r="AG240" i="1" s="1"/>
  <c r="AB240" i="1" s="1"/>
  <c r="AD390" i="1"/>
  <c r="AF390" i="1" s="1"/>
  <c r="X179" i="1"/>
  <c r="AC179" i="1"/>
  <c r="AE179" i="1" s="1"/>
  <c r="X221" i="1"/>
  <c r="AC221" i="1"/>
  <c r="AE221" i="1" s="1"/>
  <c r="AG221" i="1" s="1"/>
  <c r="AB221" i="1" s="1"/>
  <c r="X131" i="1"/>
  <c r="AD360" i="1"/>
  <c r="AF360" i="1" s="1"/>
  <c r="X253" i="1"/>
  <c r="X278" i="1"/>
  <c r="AC278" i="1"/>
  <c r="AE278" i="1" s="1"/>
  <c r="AD214" i="1"/>
  <c r="AF214" i="1" s="1"/>
  <c r="AD108" i="1"/>
  <c r="AF108" i="1" s="1"/>
  <c r="AG78" i="1"/>
  <c r="AB78" i="1" s="1"/>
  <c r="X242" i="1"/>
  <c r="AC242" i="1"/>
  <c r="AE242" i="1" s="1"/>
  <c r="AG242" i="1" s="1"/>
  <c r="AB242" i="1" s="1"/>
  <c r="AD49" i="1"/>
  <c r="AF49" i="1" s="1"/>
  <c r="X375" i="1"/>
  <c r="AC375" i="1"/>
  <c r="AE375" i="1" s="1"/>
  <c r="X266" i="1"/>
  <c r="X188" i="1"/>
  <c r="AC188" i="1"/>
  <c r="AE188" i="1" s="1"/>
  <c r="X175" i="1"/>
  <c r="AC175" i="1"/>
  <c r="AE175" i="1" s="1"/>
  <c r="X288" i="1"/>
  <c r="AD290" i="1"/>
  <c r="AF290" i="1" s="1"/>
  <c r="O49" i="139" s="1"/>
  <c r="Q49" i="139" s="1"/>
  <c r="AD395" i="1"/>
  <c r="AF395" i="1" s="1"/>
  <c r="X331" i="1"/>
  <c r="AC331" i="1"/>
  <c r="AE331" i="1" s="1"/>
  <c r="AD408" i="1"/>
  <c r="AF408" i="1" s="1"/>
  <c r="AD110" i="1"/>
  <c r="AF110" i="1" s="1"/>
  <c r="AD380" i="1"/>
  <c r="AF380" i="1" s="1"/>
  <c r="X336" i="1"/>
  <c r="AG378" i="1"/>
  <c r="AB378" i="1" s="1"/>
  <c r="AD306" i="1"/>
  <c r="AF306" i="1" s="1"/>
  <c r="X184" i="1"/>
  <c r="AC184" i="1"/>
  <c r="AE184" i="1" s="1"/>
  <c r="X292" i="1"/>
  <c r="AC292" i="1"/>
  <c r="AE292" i="1" s="1"/>
  <c r="AD339" i="1"/>
  <c r="AF339" i="1" s="1"/>
  <c r="AD150" i="1"/>
  <c r="AF150" i="1" s="1"/>
  <c r="X284" i="1"/>
  <c r="AC284" i="1"/>
  <c r="AE284" i="1" s="1"/>
  <c r="AD355" i="1"/>
  <c r="AF355" i="1" s="1"/>
  <c r="X111" i="1"/>
  <c r="AC111" i="1"/>
  <c r="AE111" i="1" s="1"/>
  <c r="X307" i="1"/>
  <c r="AC307" i="1"/>
  <c r="AE307" i="1" s="1"/>
  <c r="X302" i="1"/>
  <c r="AC302" i="1"/>
  <c r="AE302" i="1" s="1"/>
  <c r="AG302" i="1" s="1"/>
  <c r="AB302" i="1" s="1"/>
  <c r="AD412" i="1"/>
  <c r="AF412" i="1" s="1"/>
  <c r="AG412" i="1" s="1"/>
  <c r="AB412" i="1" s="1"/>
  <c r="AD359" i="1"/>
  <c r="AF359" i="1" s="1"/>
  <c r="X321" i="1"/>
  <c r="AC321" i="1"/>
  <c r="AE321" i="1" s="1"/>
  <c r="AD318" i="1"/>
  <c r="AF318" i="1" s="1"/>
  <c r="X191" i="1"/>
  <c r="AC191" i="1"/>
  <c r="AE191" i="1" s="1"/>
  <c r="X209" i="1"/>
  <c r="AC209" i="1"/>
  <c r="AE209" i="1" s="1"/>
  <c r="X156" i="1"/>
  <c r="AC156" i="1"/>
  <c r="AE156" i="1" s="1"/>
  <c r="X153" i="1"/>
  <c r="X260" i="1"/>
  <c r="AC260" i="1"/>
  <c r="AE260" i="1" s="1"/>
  <c r="X202" i="1"/>
  <c r="AC202" i="1"/>
  <c r="AE202" i="1" s="1"/>
  <c r="AD237" i="1"/>
  <c r="AF237" i="1" s="1"/>
  <c r="AD155" i="1"/>
  <c r="AF155" i="1" s="1"/>
  <c r="AG68" i="1"/>
  <c r="AB68" i="1" s="1"/>
  <c r="AD103" i="1"/>
  <c r="AF103" i="1" s="1"/>
  <c r="AG103" i="1" s="1"/>
  <c r="AB103" i="1" s="1"/>
  <c r="X200" i="1"/>
  <c r="AD388" i="1"/>
  <c r="AF388" i="1" s="1"/>
  <c r="X181" i="1"/>
  <c r="AC181" i="1"/>
  <c r="AE181" i="1" s="1"/>
  <c r="AD282" i="1"/>
  <c r="AF282" i="1" s="1"/>
  <c r="AD277" i="1"/>
  <c r="AF277" i="1" s="1"/>
  <c r="AD304" i="1"/>
  <c r="AF304" i="1" s="1"/>
  <c r="AD176" i="1"/>
  <c r="AF176" i="1" s="1"/>
  <c r="X237" i="1"/>
  <c r="AC237" i="1"/>
  <c r="AE237" i="1" s="1"/>
  <c r="AG80" i="1"/>
  <c r="AB80" i="1" s="1"/>
  <c r="AD169" i="1"/>
  <c r="AF169" i="1" s="1"/>
  <c r="X410" i="1"/>
  <c r="AG91" i="1"/>
  <c r="AB91" i="1" s="1"/>
  <c r="X197" i="1"/>
  <c r="AC197" i="1"/>
  <c r="AE197" i="1" s="1"/>
  <c r="AD153" i="1"/>
  <c r="AF153" i="1" s="1"/>
  <c r="AG153" i="1" s="1"/>
  <c r="AB153" i="1" s="1"/>
  <c r="AD230" i="1"/>
  <c r="AF230" i="1" s="1"/>
  <c r="AD370" i="1"/>
  <c r="AF370" i="1" s="1"/>
  <c r="X339" i="1"/>
  <c r="X161" i="1"/>
  <c r="AC161" i="1"/>
  <c r="AE161" i="1" s="1"/>
  <c r="X265" i="1"/>
  <c r="X103" i="1"/>
  <c r="X138" i="1"/>
  <c r="AC138" i="1"/>
  <c r="AE138" i="1" s="1"/>
  <c r="X287" i="1"/>
  <c r="AC287" i="1"/>
  <c r="AE287" i="1" s="1"/>
  <c r="X123" i="1"/>
  <c r="AC123" i="1"/>
  <c r="AE123" i="1" s="1"/>
  <c r="AG123" i="1" s="1"/>
  <c r="AB123" i="1" s="1"/>
  <c r="AD162" i="1"/>
  <c r="AF162" i="1" s="1"/>
  <c r="AD171" i="1"/>
  <c r="AF171" i="1" s="1"/>
  <c r="X199" i="1"/>
  <c r="AC199" i="1"/>
  <c r="AE199" i="1" s="1"/>
  <c r="AG199" i="1" s="1"/>
  <c r="AB199" i="1" s="1"/>
  <c r="X264" i="1"/>
  <c r="AC264" i="1"/>
  <c r="AE264" i="1" s="1"/>
  <c r="AG264" i="1" s="1"/>
  <c r="AB264" i="1" s="1"/>
  <c r="AD354" i="1"/>
  <c r="AF354" i="1" s="1"/>
  <c r="AD134" i="1"/>
  <c r="AF134" i="1" s="1"/>
  <c r="AG134" i="1" s="1"/>
  <c r="AB134" i="1" s="1"/>
  <c r="AC34" i="1"/>
  <c r="AE34" i="1" s="1"/>
  <c r="X53" i="1"/>
  <c r="X32" i="1"/>
  <c r="AC31" i="1"/>
  <c r="AE31" i="1" s="1"/>
  <c r="H20" i="139" s="1"/>
  <c r="AC23" i="1"/>
  <c r="AE23" i="1" s="1"/>
  <c r="H32" i="139" s="1"/>
  <c r="J32" i="139" s="1"/>
  <c r="K32" i="139" s="1"/>
  <c r="AD51" i="1"/>
  <c r="AF51" i="1" s="1"/>
  <c r="X37" i="1"/>
  <c r="X25" i="1"/>
  <c r="Q5" i="139"/>
  <c r="AD13" i="1"/>
  <c r="AF13" i="1" s="1"/>
  <c r="X16" i="1"/>
  <c r="AC8" i="1"/>
  <c r="AE8" i="1" s="1"/>
  <c r="AC32" i="1"/>
  <c r="AE32" i="1" s="1"/>
  <c r="X38" i="1"/>
  <c r="X7" i="1"/>
  <c r="X50" i="1"/>
  <c r="X31" i="1"/>
  <c r="AD31" i="1"/>
  <c r="AF31" i="1" s="1"/>
  <c r="AD42" i="1"/>
  <c r="AF42" i="1" s="1"/>
  <c r="AG42" i="1" s="1"/>
  <c r="AB42" i="1" s="1"/>
  <c r="X13" i="1"/>
  <c r="X23" i="1"/>
  <c r="X26" i="1"/>
  <c r="X48" i="1"/>
  <c r="AD52" i="1"/>
  <c r="AC7" i="1"/>
  <c r="P7" i="139"/>
  <c r="AD39" i="1"/>
  <c r="X36" i="1"/>
  <c r="AD36" i="1"/>
  <c r="AC24" i="1"/>
  <c r="AC16" i="1"/>
  <c r="AC43" i="1"/>
  <c r="AD28" i="1"/>
  <c r="P15" i="139"/>
  <c r="P33" i="139"/>
  <c r="L3" i="71"/>
  <c r="AD43" i="1"/>
  <c r="X43" i="1"/>
  <c r="AC35" i="1"/>
  <c r="AC14" i="1"/>
  <c r="AD17" i="1"/>
  <c r="AC45" i="1"/>
  <c r="AD26" i="1"/>
  <c r="AC38" i="1"/>
  <c r="AD53" i="1"/>
  <c r="P10" i="139"/>
  <c r="AD46" i="1"/>
  <c r="P31" i="139"/>
  <c r="AC21" i="1"/>
  <c r="X46" i="1"/>
  <c r="AC33" i="1"/>
  <c r="X39" i="1"/>
  <c r="AC39" i="1"/>
  <c r="AD21" i="1"/>
  <c r="AD8" i="1"/>
  <c r="X8" i="1"/>
  <c r="X21" i="1"/>
  <c r="X15" i="1"/>
  <c r="AC15" i="1"/>
  <c r="AD35" i="1"/>
  <c r="X35" i="1"/>
  <c r="X40" i="1"/>
  <c r="AC40" i="1"/>
  <c r="AD24" i="1"/>
  <c r="X24" i="1"/>
  <c r="AC50" i="1"/>
  <c r="AD12" i="1"/>
  <c r="X12" i="1"/>
  <c r="X51" i="1"/>
  <c r="AC51" i="1"/>
  <c r="X30" i="1"/>
  <c r="AD30" i="1"/>
  <c r="AD10" i="1"/>
  <c r="X10" i="1"/>
  <c r="AC27" i="1"/>
  <c r="X27" i="1"/>
  <c r="AC28" i="1"/>
  <c r="X28" i="1"/>
  <c r="X33" i="1"/>
  <c r="AD33" i="1"/>
  <c r="AD14" i="1"/>
  <c r="X14" i="1"/>
  <c r="AD45" i="1"/>
  <c r="X45" i="1"/>
  <c r="AC52" i="1"/>
  <c r="X52" i="1"/>
  <c r="AD20" i="1"/>
  <c r="AD19" i="1"/>
  <c r="AD47" i="1"/>
  <c r="AC47" i="1"/>
  <c r="X47" i="1"/>
  <c r="AC19" i="1"/>
  <c r="X19" i="1"/>
  <c r="AC49" i="1"/>
  <c r="X49" i="1"/>
  <c r="AC20" i="1"/>
  <c r="X20" i="1"/>
  <c r="AD48" i="1"/>
  <c r="O60" i="139"/>
  <c r="Q60" i="139" s="1"/>
  <c r="AE11" i="1"/>
  <c r="AF22" i="1"/>
  <c r="O58" i="139" s="1"/>
  <c r="Q58" i="139" s="1"/>
  <c r="O22" i="139"/>
  <c r="Q22" i="139" s="1"/>
  <c r="AF11" i="1"/>
  <c r="AF9" i="1"/>
  <c r="O44" i="139" s="1"/>
  <c r="Q44" i="139" s="1"/>
  <c r="AE22" i="1"/>
  <c r="AF6" i="1"/>
  <c r="O53" i="139"/>
  <c r="Q53" i="139" s="1"/>
  <c r="AE17" i="1"/>
  <c r="O48" i="139"/>
  <c r="Q48" i="139" s="1"/>
  <c r="AF32" i="1"/>
  <c r="AF16" i="1"/>
  <c r="AE9" i="1"/>
  <c r="H57" i="139" s="1"/>
  <c r="AF44" i="1"/>
  <c r="AF41" i="1"/>
  <c r="AE48" i="1"/>
  <c r="AF50" i="1"/>
  <c r="AG29" i="1"/>
  <c r="AG323" i="1" l="1"/>
  <c r="AB323" i="1" s="1"/>
  <c r="AG99" i="1"/>
  <c r="AB99" i="1" s="1"/>
  <c r="AG194" i="1"/>
  <c r="AB194" i="1" s="1"/>
  <c r="P11" i="139"/>
  <c r="Q11" i="139"/>
  <c r="R11" i="139" s="1"/>
  <c r="P27" i="139"/>
  <c r="Q27" i="139"/>
  <c r="R27" i="139" s="1"/>
  <c r="P41" i="139"/>
  <c r="Q41" i="139"/>
  <c r="R41" i="139" s="1"/>
  <c r="AI268" i="1" s="1"/>
  <c r="J49" i="139"/>
  <c r="K49" i="139" s="1"/>
  <c r="I49" i="139"/>
  <c r="P6" i="139"/>
  <c r="Q6" i="139"/>
  <c r="R6" i="139" s="1"/>
  <c r="AI273" i="1" s="1"/>
  <c r="AM273" i="1" s="1"/>
  <c r="P32" i="139"/>
  <c r="Q32" i="139"/>
  <c r="R32" i="139" s="1"/>
  <c r="AI131" i="1" s="1"/>
  <c r="AM131" i="1" s="1"/>
  <c r="N68" i="159" s="1"/>
  <c r="R10" i="139"/>
  <c r="AI270" i="1" s="1"/>
  <c r="R33" i="139"/>
  <c r="AI263" i="1" s="1"/>
  <c r="R7" i="139"/>
  <c r="AI269" i="1" s="1"/>
  <c r="R31" i="139"/>
  <c r="AI255" i="1" s="1"/>
  <c r="R15" i="139"/>
  <c r="AI272" i="1" s="1"/>
  <c r="H14" i="139"/>
  <c r="I14" i="139" s="1"/>
  <c r="AG217" i="1"/>
  <c r="AB217" i="1" s="1"/>
  <c r="AG350" i="1"/>
  <c r="AB350" i="1" s="1"/>
  <c r="AG329" i="1"/>
  <c r="AB329" i="1" s="1"/>
  <c r="AG208" i="1"/>
  <c r="AB208" i="1" s="1"/>
  <c r="H47" i="139"/>
  <c r="J47" i="139" s="1"/>
  <c r="K47" i="139" s="1"/>
  <c r="AG145" i="1"/>
  <c r="AB145" i="1" s="1"/>
  <c r="AG180" i="1"/>
  <c r="AB180" i="1" s="1"/>
  <c r="AG161" i="1"/>
  <c r="AB161" i="1" s="1"/>
  <c r="AG356" i="1"/>
  <c r="AB356" i="1" s="1"/>
  <c r="AG361" i="1"/>
  <c r="AB361" i="1" s="1"/>
  <c r="AG282" i="1"/>
  <c r="AB282" i="1" s="1"/>
  <c r="H17" i="139"/>
  <c r="I17" i="139" s="1"/>
  <c r="P5" i="139"/>
  <c r="N2" i="139"/>
  <c r="H21" i="139"/>
  <c r="J21" i="139" s="1"/>
  <c r="K21" i="139" s="1"/>
  <c r="H52" i="139"/>
  <c r="I52" i="139" s="1"/>
  <c r="H25" i="139"/>
  <c r="J25" i="139" s="1"/>
  <c r="K25" i="139" s="1"/>
  <c r="H37" i="139"/>
  <c r="J37" i="139" s="1"/>
  <c r="K37" i="139" s="1"/>
  <c r="I40" i="139"/>
  <c r="J40" i="139"/>
  <c r="K40" i="139" s="1"/>
  <c r="J7" i="139"/>
  <c r="K7" i="139" s="1"/>
  <c r="I7" i="139"/>
  <c r="I31" i="139"/>
  <c r="I6" i="139"/>
  <c r="J6" i="139"/>
  <c r="K6" i="139" s="1"/>
  <c r="AG387" i="1"/>
  <c r="AB387" i="1" s="1"/>
  <c r="H59" i="139"/>
  <c r="J59" i="139" s="1"/>
  <c r="K59" i="139" s="1"/>
  <c r="H27" i="139"/>
  <c r="J11" i="139"/>
  <c r="K11" i="139" s="1"/>
  <c r="I11" i="139"/>
  <c r="J14" i="139"/>
  <c r="K14" i="139" s="1"/>
  <c r="AG296" i="1"/>
  <c r="AB296" i="1" s="1"/>
  <c r="H28" i="139"/>
  <c r="I28" i="139" s="1"/>
  <c r="AG34" i="1"/>
  <c r="AB34" i="1" s="1"/>
  <c r="H58" i="139"/>
  <c r="AG207" i="1"/>
  <c r="AB207" i="1" s="1"/>
  <c r="H60" i="139"/>
  <c r="I60" i="139" s="1"/>
  <c r="H46" i="139"/>
  <c r="I46" i="139" s="1"/>
  <c r="J13" i="139"/>
  <c r="K13" i="139" s="1"/>
  <c r="I13" i="139"/>
  <c r="H39" i="139"/>
  <c r="I39" i="139" s="1"/>
  <c r="J57" i="139"/>
  <c r="K57" i="139" s="1"/>
  <c r="I57" i="139"/>
  <c r="AG182" i="1"/>
  <c r="AB182" i="1" s="1"/>
  <c r="H51" i="139"/>
  <c r="J51" i="139" s="1"/>
  <c r="K51" i="139" s="1"/>
  <c r="I32" i="139"/>
  <c r="H18" i="139"/>
  <c r="H16" i="139"/>
  <c r="J41" i="139"/>
  <c r="K41" i="139" s="1"/>
  <c r="I41" i="139"/>
  <c r="I42" i="139"/>
  <c r="J42" i="139"/>
  <c r="K42" i="139" s="1"/>
  <c r="I20" i="139"/>
  <c r="J20" i="139"/>
  <c r="K20" i="139" s="1"/>
  <c r="AG321" i="1"/>
  <c r="AB321" i="1" s="1"/>
  <c r="H35" i="139"/>
  <c r="J35" i="139" s="1"/>
  <c r="K35" i="139" s="1"/>
  <c r="H56" i="139"/>
  <c r="I56" i="139" s="1"/>
  <c r="G2" i="139"/>
  <c r="I9" i="139"/>
  <c r="J9" i="139"/>
  <c r="K9" i="139" s="1"/>
  <c r="H23" i="139"/>
  <c r="AG349" i="1"/>
  <c r="AB349" i="1" s="1"/>
  <c r="AG297" i="1"/>
  <c r="AB297" i="1" s="1"/>
  <c r="X4" i="1"/>
  <c r="AG382" i="1"/>
  <c r="AB382" i="1" s="1"/>
  <c r="AG232" i="1"/>
  <c r="AB232" i="1" s="1"/>
  <c r="AG102" i="1"/>
  <c r="AB102" i="1" s="1"/>
  <c r="AG243" i="1"/>
  <c r="AB243" i="1" s="1"/>
  <c r="AG222" i="1"/>
  <c r="AB222" i="1" s="1"/>
  <c r="AG310" i="1"/>
  <c r="AB310" i="1" s="1"/>
  <c r="AG320" i="1"/>
  <c r="AB320" i="1" s="1"/>
  <c r="AG23" i="1"/>
  <c r="AB23" i="1" s="1"/>
  <c r="AG160" i="1"/>
  <c r="AB160" i="1" s="1"/>
  <c r="AG332" i="1"/>
  <c r="AB332" i="1" s="1"/>
  <c r="AG287" i="1"/>
  <c r="AB287" i="1" s="1"/>
  <c r="AG184" i="1"/>
  <c r="AB184" i="1" s="1"/>
  <c r="AG305" i="1"/>
  <c r="AB305" i="1" s="1"/>
  <c r="AG260" i="1"/>
  <c r="AB260" i="1" s="1"/>
  <c r="AG334" i="1"/>
  <c r="AB334" i="1" s="1"/>
  <c r="AG172" i="1"/>
  <c r="AB172" i="1" s="1"/>
  <c r="AG139" i="1"/>
  <c r="AB139" i="1" s="1"/>
  <c r="AG116" i="1"/>
  <c r="AB116" i="1" s="1"/>
  <c r="AG181" i="1"/>
  <c r="AB181" i="1" s="1"/>
  <c r="AG202" i="1"/>
  <c r="AB202" i="1" s="1"/>
  <c r="AG218" i="1"/>
  <c r="AB218" i="1" s="1"/>
  <c r="AG339" i="1"/>
  <c r="AB339" i="1" s="1"/>
  <c r="AG312" i="1"/>
  <c r="AB312" i="1" s="1"/>
  <c r="AG96" i="1"/>
  <c r="AB96" i="1" s="1"/>
  <c r="AG231" i="1"/>
  <c r="AB231" i="1" s="1"/>
  <c r="AG398" i="1"/>
  <c r="AB398" i="1" s="1"/>
  <c r="AG166" i="1"/>
  <c r="AB166" i="1" s="1"/>
  <c r="AG220" i="1"/>
  <c r="AB220" i="1" s="1"/>
  <c r="AG203" i="1"/>
  <c r="AB203" i="1" s="1"/>
  <c r="AG105" i="1"/>
  <c r="AB105" i="1" s="1"/>
  <c r="AG408" i="1"/>
  <c r="AB408" i="1" s="1"/>
  <c r="AG174" i="1"/>
  <c r="AB174" i="1" s="1"/>
  <c r="AG178" i="1"/>
  <c r="AB178" i="1" s="1"/>
  <c r="AG322" i="1"/>
  <c r="AB322" i="1" s="1"/>
  <c r="AG224" i="1"/>
  <c r="AB224" i="1" s="1"/>
  <c r="AG342" i="1"/>
  <c r="AB342" i="1" s="1"/>
  <c r="AG397" i="1"/>
  <c r="AB397" i="1" s="1"/>
  <c r="AG136" i="1"/>
  <c r="AB136" i="1" s="1"/>
  <c r="AG197" i="1"/>
  <c r="AB197" i="1" s="1"/>
  <c r="AG330" i="1"/>
  <c r="AB330" i="1" s="1"/>
  <c r="AG187" i="1"/>
  <c r="AB187" i="1" s="1"/>
  <c r="AG363" i="1"/>
  <c r="AB363" i="1" s="1"/>
  <c r="AG275" i="1"/>
  <c r="AB275" i="1" s="1"/>
  <c r="AG97" i="1"/>
  <c r="AB97" i="1" s="1"/>
  <c r="AG154" i="1"/>
  <c r="AB154" i="1" s="1"/>
  <c r="AG357" i="1"/>
  <c r="AB357" i="1" s="1"/>
  <c r="AG175" i="1"/>
  <c r="AB175" i="1" s="1"/>
  <c r="AG325" i="1"/>
  <c r="AB325" i="1" s="1"/>
  <c r="AG407" i="1"/>
  <c r="AB407" i="1" s="1"/>
  <c r="AG393" i="1"/>
  <c r="AB393" i="1" s="1"/>
  <c r="AG111" i="1"/>
  <c r="AB111" i="1" s="1"/>
  <c r="AG278" i="1"/>
  <c r="AB278" i="1" s="1"/>
  <c r="AG138" i="1"/>
  <c r="AB138" i="1" s="1"/>
  <c r="AG340" i="1"/>
  <c r="AB340" i="1" s="1"/>
  <c r="AG313" i="1"/>
  <c r="AB313" i="1" s="1"/>
  <c r="AG192" i="1"/>
  <c r="AB192" i="1" s="1"/>
  <c r="AG307" i="1"/>
  <c r="AB307" i="1" s="1"/>
  <c r="AG179" i="1"/>
  <c r="AB179" i="1" s="1"/>
  <c r="AG314" i="1"/>
  <c r="AB314" i="1" s="1"/>
  <c r="AG333" i="1"/>
  <c r="AB333" i="1" s="1"/>
  <c r="AG93" i="1"/>
  <c r="AB93" i="1" s="1"/>
  <c r="AG261" i="1"/>
  <c r="AB261" i="1" s="1"/>
  <c r="AG191" i="1"/>
  <c r="AB191" i="1" s="1"/>
  <c r="AG311" i="1"/>
  <c r="AB311" i="1" s="1"/>
  <c r="AG140" i="1"/>
  <c r="AB140" i="1" s="1"/>
  <c r="AG188" i="1"/>
  <c r="AB188" i="1" s="1"/>
  <c r="AG379" i="1"/>
  <c r="AB379" i="1" s="1"/>
  <c r="AG173" i="1"/>
  <c r="AB173" i="1" s="1"/>
  <c r="AG98" i="1"/>
  <c r="AB98" i="1" s="1"/>
  <c r="AG376" i="1"/>
  <c r="AB376" i="1" s="1"/>
  <c r="AG142" i="1"/>
  <c r="AB142" i="1" s="1"/>
  <c r="AG366" i="1"/>
  <c r="AB366" i="1" s="1"/>
  <c r="AG100" i="1"/>
  <c r="AB100" i="1" s="1"/>
  <c r="AG292" i="1"/>
  <c r="AB292" i="1" s="1"/>
  <c r="AG148" i="1"/>
  <c r="AB148" i="1" s="1"/>
  <c r="AG189" i="1"/>
  <c r="AB189" i="1" s="1"/>
  <c r="AG206" i="1"/>
  <c r="AB206" i="1" s="1"/>
  <c r="AG104" i="1"/>
  <c r="AB104" i="1" s="1"/>
  <c r="AG201" i="1"/>
  <c r="AB201" i="1" s="1"/>
  <c r="AG107" i="1"/>
  <c r="AB107" i="1" s="1"/>
  <c r="AG355" i="1"/>
  <c r="AB355" i="1" s="1"/>
  <c r="AG283" i="1"/>
  <c r="AB283" i="1" s="1"/>
  <c r="AG101" i="1"/>
  <c r="AB101" i="1" s="1"/>
  <c r="AG299" i="1"/>
  <c r="AB299" i="1" s="1"/>
  <c r="AG190" i="1"/>
  <c r="AB190" i="1" s="1"/>
  <c r="AG381" i="1"/>
  <c r="AB381" i="1" s="1"/>
  <c r="AG360" i="1"/>
  <c r="AB360" i="1" s="1"/>
  <c r="AG391" i="1"/>
  <c r="AB391" i="1" s="1"/>
  <c r="AG348" i="1"/>
  <c r="AB348" i="1" s="1"/>
  <c r="AG359" i="1"/>
  <c r="AB359" i="1" s="1"/>
  <c r="AG326" i="1"/>
  <c r="AB326" i="1" s="1"/>
  <c r="AG276" i="1"/>
  <c r="AB276" i="1" s="1"/>
  <c r="AG405" i="1"/>
  <c r="AB405" i="1" s="1"/>
  <c r="AG156" i="1"/>
  <c r="AB156" i="1" s="1"/>
  <c r="AG374" i="1"/>
  <c r="AB374" i="1" s="1"/>
  <c r="AG291" i="1"/>
  <c r="AB291" i="1" s="1"/>
  <c r="AG117" i="1"/>
  <c r="AB117" i="1" s="1"/>
  <c r="AG331" i="1"/>
  <c r="AB331" i="1" s="1"/>
  <c r="AG155" i="1"/>
  <c r="AB155" i="1" s="1"/>
  <c r="AG306" i="1"/>
  <c r="AB306" i="1" s="1"/>
  <c r="AG395" i="1"/>
  <c r="AB395" i="1" s="1"/>
  <c r="AG389" i="1"/>
  <c r="AB389" i="1" s="1"/>
  <c r="AG368" i="1"/>
  <c r="AB368" i="1" s="1"/>
  <c r="AG230" i="1"/>
  <c r="AB230" i="1" s="1"/>
  <c r="AG95" i="1"/>
  <c r="AB95" i="1" s="1"/>
  <c r="AG147" i="1"/>
  <c r="AB147" i="1" s="1"/>
  <c r="AG118" i="1"/>
  <c r="AB118" i="1" s="1"/>
  <c r="AG171" i="1"/>
  <c r="AB171" i="1" s="1"/>
  <c r="AG345" i="1"/>
  <c r="AB345" i="1" s="1"/>
  <c r="AG158" i="1"/>
  <c r="AB158" i="1" s="1"/>
  <c r="AG304" i="1"/>
  <c r="AB304" i="1" s="1"/>
  <c r="AG237" i="1"/>
  <c r="AB237" i="1" s="1"/>
  <c r="AG375" i="1"/>
  <c r="AB375" i="1" s="1"/>
  <c r="AG341" i="1"/>
  <c r="AB341" i="1" s="1"/>
  <c r="AG308" i="1"/>
  <c r="AB308" i="1" s="1"/>
  <c r="AG150" i="1"/>
  <c r="AB150" i="1" s="1"/>
  <c r="AG94" i="1"/>
  <c r="AB94" i="1" s="1"/>
  <c r="AG298" i="1"/>
  <c r="AB298" i="1" s="1"/>
  <c r="AG152" i="1"/>
  <c r="AB152" i="1" s="1"/>
  <c r="AG168" i="1"/>
  <c r="AB168" i="1" s="1"/>
  <c r="AG115" i="1"/>
  <c r="AB115" i="1" s="1"/>
  <c r="AG365" i="1"/>
  <c r="AB365" i="1" s="1"/>
  <c r="AG371" i="1"/>
  <c r="AB371" i="1" s="1"/>
  <c r="AG149" i="1"/>
  <c r="AB149" i="1" s="1"/>
  <c r="AG177" i="1"/>
  <c r="AB177" i="1" s="1"/>
  <c r="AG169" i="1"/>
  <c r="AB169" i="1" s="1"/>
  <c r="AG367" i="1"/>
  <c r="AB367" i="1" s="1"/>
  <c r="AG170" i="1"/>
  <c r="AB170" i="1" s="1"/>
  <c r="AG277" i="1"/>
  <c r="AB277" i="1" s="1"/>
  <c r="AG167" i="1"/>
  <c r="AB167" i="1" s="1"/>
  <c r="AG281" i="1"/>
  <c r="AB281" i="1" s="1"/>
  <c r="AG157" i="1"/>
  <c r="AB157" i="1" s="1"/>
  <c r="AG362" i="1"/>
  <c r="AB362" i="1" s="1"/>
  <c r="AG317" i="1"/>
  <c r="AB317" i="1" s="1"/>
  <c r="AG193" i="1"/>
  <c r="AB193" i="1" s="1"/>
  <c r="AG319" i="1"/>
  <c r="AB319" i="1" s="1"/>
  <c r="AG380" i="1"/>
  <c r="AB380" i="1" s="1"/>
  <c r="AG257" i="1"/>
  <c r="AB257" i="1" s="1"/>
  <c r="AG250" i="1"/>
  <c r="AB250" i="1" s="1"/>
  <c r="AG195" i="1"/>
  <c r="AB195" i="1" s="1"/>
  <c r="AG135" i="1"/>
  <c r="AB135" i="1" s="1"/>
  <c r="AG388" i="1"/>
  <c r="AB388" i="1" s="1"/>
  <c r="AG290" i="1"/>
  <c r="AB290" i="1" s="1"/>
  <c r="AG141" i="1"/>
  <c r="AB141" i="1" s="1"/>
  <c r="AG284" i="1"/>
  <c r="AB284" i="1" s="1"/>
  <c r="AG137" i="1"/>
  <c r="AB137" i="1" s="1"/>
  <c r="AG198" i="1"/>
  <c r="AB198" i="1" s="1"/>
  <c r="AG108" i="1"/>
  <c r="AB108" i="1" s="1"/>
  <c r="AG285" i="1"/>
  <c r="AB285" i="1" s="1"/>
  <c r="AG316" i="1"/>
  <c r="AB316" i="1" s="1"/>
  <c r="AG176" i="1"/>
  <c r="AB176" i="1" s="1"/>
  <c r="AG351" i="1"/>
  <c r="AB351" i="1" s="1"/>
  <c r="AG110" i="1"/>
  <c r="AB110" i="1" s="1"/>
  <c r="AG315" i="1"/>
  <c r="AB315" i="1" s="1"/>
  <c r="AG204" i="1"/>
  <c r="AB204" i="1" s="1"/>
  <c r="AG162" i="1"/>
  <c r="AB162" i="1" s="1"/>
  <c r="AG328" i="1"/>
  <c r="AB328" i="1" s="1"/>
  <c r="AG318" i="1"/>
  <c r="AB318" i="1" s="1"/>
  <c r="AG370" i="1"/>
  <c r="AB370" i="1" s="1"/>
  <c r="AG301" i="1"/>
  <c r="AB301" i="1" s="1"/>
  <c r="AG279" i="1"/>
  <c r="AB279" i="1" s="1"/>
  <c r="AG338" i="1"/>
  <c r="AB338" i="1" s="1"/>
  <c r="AG344" i="1"/>
  <c r="AB344" i="1" s="1"/>
  <c r="AG219" i="1"/>
  <c r="AB219" i="1" s="1"/>
  <c r="AG402" i="1"/>
  <c r="AB402" i="1" s="1"/>
  <c r="AG390" i="1"/>
  <c r="AB390" i="1" s="1"/>
  <c r="AG383" i="1"/>
  <c r="AB383" i="1" s="1"/>
  <c r="AG354" i="1"/>
  <c r="AB354" i="1" s="1"/>
  <c r="AG209" i="1"/>
  <c r="AB209" i="1" s="1"/>
  <c r="AG396" i="1"/>
  <c r="AB396" i="1" s="1"/>
  <c r="AG214" i="1"/>
  <c r="AB214" i="1" s="1"/>
  <c r="AG159" i="1"/>
  <c r="AB159" i="1" s="1"/>
  <c r="AG309" i="1"/>
  <c r="AB309" i="1" s="1"/>
  <c r="AG400" i="1"/>
  <c r="AB400" i="1" s="1"/>
  <c r="AM258" i="1"/>
  <c r="N391" i="159" s="1"/>
  <c r="AK258" i="1"/>
  <c r="AA258" i="1" s="1"/>
  <c r="O9" i="139"/>
  <c r="Q9" i="139" s="1"/>
  <c r="O20" i="139"/>
  <c r="P20" i="139" s="1"/>
  <c r="O17" i="139"/>
  <c r="P17" i="139" s="1"/>
  <c r="O56" i="139"/>
  <c r="Q56" i="139" s="1"/>
  <c r="AE7" i="1"/>
  <c r="AF52" i="1"/>
  <c r="O50" i="139"/>
  <c r="Q50" i="139" s="1"/>
  <c r="O23" i="139"/>
  <c r="Q23" i="139" s="1"/>
  <c r="O51" i="139"/>
  <c r="Q51" i="139" s="1"/>
  <c r="O39" i="139"/>
  <c r="Q39" i="139" s="1"/>
  <c r="O46" i="139"/>
  <c r="Q46" i="139" s="1"/>
  <c r="AG31" i="1"/>
  <c r="AB31" i="1" s="1"/>
  <c r="O21" i="139"/>
  <c r="Q21" i="139" s="1"/>
  <c r="O40" i="139"/>
  <c r="Q40" i="139" s="1"/>
  <c r="AF36" i="1"/>
  <c r="AF39" i="1"/>
  <c r="AE16" i="1"/>
  <c r="AG16" i="1" s="1"/>
  <c r="AF28" i="1"/>
  <c r="AE24" i="1"/>
  <c r="H45" i="139" s="1"/>
  <c r="AE43" i="1"/>
  <c r="AF43" i="1"/>
  <c r="AE45" i="1"/>
  <c r="AE35" i="1"/>
  <c r="AF17" i="1"/>
  <c r="O59" i="139" s="1"/>
  <c r="Q59" i="139" s="1"/>
  <c r="AE38" i="1"/>
  <c r="AF26" i="1"/>
  <c r="AE14" i="1"/>
  <c r="AG41" i="1"/>
  <c r="AB41" i="1" s="1"/>
  <c r="AF53" i="1"/>
  <c r="AG53" i="1" s="1"/>
  <c r="AB53" i="1" s="1"/>
  <c r="AF46" i="1"/>
  <c r="AE21" i="1"/>
  <c r="AE33" i="1"/>
  <c r="AE39" i="1"/>
  <c r="H34" i="139" s="1"/>
  <c r="AF8" i="1"/>
  <c r="AF21" i="1"/>
  <c r="AE15" i="1"/>
  <c r="AF35" i="1"/>
  <c r="AE51" i="1"/>
  <c r="AF24" i="1"/>
  <c r="AE40" i="1"/>
  <c r="H54" i="139" s="1"/>
  <c r="J54" i="139" s="1"/>
  <c r="K54" i="139" s="1"/>
  <c r="AF30" i="1"/>
  <c r="AE50" i="1"/>
  <c r="AG50" i="1" s="1"/>
  <c r="AB50" i="1" s="1"/>
  <c r="AF12" i="1"/>
  <c r="O16" i="139" s="1"/>
  <c r="P16" i="139" s="1"/>
  <c r="AF10" i="1"/>
  <c r="O55" i="139" s="1"/>
  <c r="Q55" i="139" s="1"/>
  <c r="AE27" i="1"/>
  <c r="H50" i="139" s="1"/>
  <c r="I50" i="139" s="1"/>
  <c r="AE28" i="1"/>
  <c r="AF14" i="1"/>
  <c r="AF33" i="1"/>
  <c r="O42" i="139" s="1"/>
  <c r="Q42" i="139" s="1"/>
  <c r="AF45" i="1"/>
  <c r="AE52" i="1"/>
  <c r="AE47" i="1"/>
  <c r="H26" i="139" s="1"/>
  <c r="I26" i="139" s="1"/>
  <c r="AF19" i="1"/>
  <c r="O12" i="139" s="1"/>
  <c r="P12" i="139" s="1"/>
  <c r="AF47" i="1"/>
  <c r="AF20" i="1"/>
  <c r="O57" i="139" s="1"/>
  <c r="Q57" i="139" s="1"/>
  <c r="AE19" i="1"/>
  <c r="H12" i="139" s="1"/>
  <c r="AE13" i="1"/>
  <c r="AE49" i="1"/>
  <c r="AE20" i="1"/>
  <c r="H36" i="139" s="1"/>
  <c r="AF48" i="1"/>
  <c r="O35" i="139" s="1"/>
  <c r="Q35" i="139" s="1"/>
  <c r="AG44" i="1"/>
  <c r="AB44" i="1" s="1"/>
  <c r="AG22" i="1"/>
  <c r="AG11" i="1"/>
  <c r="AG9" i="1"/>
  <c r="AG32" i="1"/>
  <c r="AG6" i="1"/>
  <c r="AB29" i="1"/>
  <c r="AI267" i="1" l="1"/>
  <c r="AK267" i="1" s="1"/>
  <c r="AA267" i="1" s="1"/>
  <c r="AI265" i="1"/>
  <c r="AM265" i="1" s="1"/>
  <c r="N316" i="159" s="1"/>
  <c r="AI266" i="1"/>
  <c r="AK266" i="1" s="1"/>
  <c r="AA266" i="1" s="1"/>
  <c r="AK268" i="1"/>
  <c r="AA268" i="1" s="1"/>
  <c r="AM268" i="1"/>
  <c r="N140" i="159" s="1"/>
  <c r="R140" i="159" s="1"/>
  <c r="AI86" i="1"/>
  <c r="AM86" i="1" s="1"/>
  <c r="N29" i="159" s="1"/>
  <c r="AI295" i="1"/>
  <c r="AK295" i="1" s="1"/>
  <c r="AA295" i="1" s="1"/>
  <c r="AI119" i="1"/>
  <c r="AK119" i="1" s="1"/>
  <c r="AA119" i="1" s="1"/>
  <c r="AI123" i="1"/>
  <c r="AK123" i="1" s="1"/>
  <c r="AA123" i="1" s="1"/>
  <c r="Q17" i="139"/>
  <c r="R17" i="139" s="1"/>
  <c r="Q20" i="139"/>
  <c r="R20" i="139" s="1"/>
  <c r="AI256" i="1" s="1"/>
  <c r="Q16" i="139"/>
  <c r="R16" i="139" s="1"/>
  <c r="Q12" i="139"/>
  <c r="R12" i="139" s="1"/>
  <c r="AI262" i="1"/>
  <c r="AM262" i="1" s="1"/>
  <c r="N318" i="159" s="1"/>
  <c r="AK131" i="1"/>
  <c r="AA131" i="1" s="1"/>
  <c r="AK273" i="1"/>
  <c r="R5" i="139"/>
  <c r="I47" i="139"/>
  <c r="J39" i="139"/>
  <c r="K39" i="139" s="1"/>
  <c r="I21" i="139"/>
  <c r="J60" i="139"/>
  <c r="K60" i="139" s="1"/>
  <c r="I35" i="139"/>
  <c r="H43" i="139"/>
  <c r="I43" i="139" s="1"/>
  <c r="I37" i="139"/>
  <c r="H38" i="139"/>
  <c r="I38" i="139" s="1"/>
  <c r="J17" i="139"/>
  <c r="K17" i="139" s="1"/>
  <c r="I59" i="139"/>
  <c r="J46" i="139"/>
  <c r="K46" i="139" s="1"/>
  <c r="I25" i="139"/>
  <c r="J52" i="139"/>
  <c r="K52" i="139" s="1"/>
  <c r="H19" i="139"/>
  <c r="I19" i="139" s="1"/>
  <c r="J45" i="139"/>
  <c r="K45" i="139" s="1"/>
  <c r="I45" i="139"/>
  <c r="J36" i="139"/>
  <c r="K36" i="139" s="1"/>
  <c r="I36" i="139"/>
  <c r="J27" i="139"/>
  <c r="K27" i="139" s="1"/>
  <c r="I27" i="139"/>
  <c r="I54" i="139"/>
  <c r="H24" i="139"/>
  <c r="J34" i="139"/>
  <c r="K34" i="139" s="1"/>
  <c r="I34" i="139"/>
  <c r="J50" i="139"/>
  <c r="K50" i="139" s="1"/>
  <c r="AG38" i="1"/>
  <c r="AB38" i="1" s="1"/>
  <c r="H30" i="139"/>
  <c r="J26" i="139"/>
  <c r="K26" i="139" s="1"/>
  <c r="I23" i="139"/>
  <c r="J23" i="139"/>
  <c r="K23" i="139" s="1"/>
  <c r="J28" i="139"/>
  <c r="K28" i="139" s="1"/>
  <c r="I16" i="139"/>
  <c r="J16" i="139"/>
  <c r="K16" i="139" s="1"/>
  <c r="J56" i="139"/>
  <c r="K56" i="139" s="1"/>
  <c r="J12" i="139"/>
  <c r="K12" i="139" s="1"/>
  <c r="I12" i="139"/>
  <c r="J18" i="139"/>
  <c r="K18" i="139" s="1"/>
  <c r="I18" i="139"/>
  <c r="J58" i="139"/>
  <c r="K58" i="139" s="1"/>
  <c r="I58" i="139"/>
  <c r="I51" i="139"/>
  <c r="P9" i="139"/>
  <c r="AF4" i="1"/>
  <c r="AE4" i="1"/>
  <c r="AB6" i="1"/>
  <c r="S391" i="159"/>
  <c r="R391" i="159"/>
  <c r="S68" i="159"/>
  <c r="R68" i="159"/>
  <c r="N205" i="159"/>
  <c r="AM270" i="1"/>
  <c r="N12" i="159" s="1"/>
  <c r="AK270" i="1"/>
  <c r="AA270" i="1" s="1"/>
  <c r="AM263" i="1"/>
  <c r="N69" i="159" s="1"/>
  <c r="AK263" i="1"/>
  <c r="AA263" i="1" s="1"/>
  <c r="AM255" i="1"/>
  <c r="N137" i="159" s="1"/>
  <c r="AK255" i="1"/>
  <c r="AA255" i="1" s="1"/>
  <c r="AM272" i="1"/>
  <c r="N32" i="159" s="1"/>
  <c r="AK272" i="1"/>
  <c r="AA272" i="1" s="1"/>
  <c r="AM269" i="1"/>
  <c r="N238" i="159" s="1"/>
  <c r="AK269" i="1"/>
  <c r="AA269" i="1" s="1"/>
  <c r="AM267" i="1"/>
  <c r="N315" i="159" s="1"/>
  <c r="AK265" i="1"/>
  <c r="AA265" i="1" s="1"/>
  <c r="O47" i="139"/>
  <c r="Q47" i="139" s="1"/>
  <c r="O18" i="139"/>
  <c r="O29" i="139"/>
  <c r="Q29" i="139" s="1"/>
  <c r="O14" i="139"/>
  <c r="Q14" i="139" s="1"/>
  <c r="O26" i="139"/>
  <c r="AG48" i="1"/>
  <c r="AB48" i="1" s="1"/>
  <c r="O19" i="139"/>
  <c r="Q19" i="139" s="1"/>
  <c r="O24" i="139"/>
  <c r="Q24" i="139" s="1"/>
  <c r="O30" i="139"/>
  <c r="Q30" i="139" s="1"/>
  <c r="O52" i="139"/>
  <c r="Q52" i="139" s="1"/>
  <c r="O25" i="139"/>
  <c r="Q25" i="139" s="1"/>
  <c r="O43" i="139"/>
  <c r="Q43" i="139" s="1"/>
  <c r="O36" i="139"/>
  <c r="Q36" i="139" s="1"/>
  <c r="O28" i="139"/>
  <c r="Q28" i="139" s="1"/>
  <c r="O37" i="139"/>
  <c r="Q37" i="139" s="1"/>
  <c r="AG7" i="1"/>
  <c r="AB7" i="1" s="1"/>
  <c r="O38" i="139"/>
  <c r="Q38" i="139" s="1"/>
  <c r="O45" i="139"/>
  <c r="Q45" i="139" s="1"/>
  <c r="O34" i="139"/>
  <c r="Q34" i="139" s="1"/>
  <c r="O54" i="139"/>
  <c r="Q54" i="139" s="1"/>
  <c r="AG36" i="1"/>
  <c r="AB36" i="1" s="1"/>
  <c r="AG17" i="1"/>
  <c r="AB17" i="1" s="1"/>
  <c r="P57" i="139"/>
  <c r="AG43" i="1"/>
  <c r="AB43" i="1" s="1"/>
  <c r="AG26" i="1"/>
  <c r="AB26" i="1" s="1"/>
  <c r="AG46" i="1"/>
  <c r="AB46" i="1" s="1"/>
  <c r="AG39" i="1"/>
  <c r="AB39" i="1" s="1"/>
  <c r="AG8" i="1"/>
  <c r="AB8" i="1" s="1"/>
  <c r="AG21" i="1"/>
  <c r="AB21" i="1" s="1"/>
  <c r="AG15" i="1"/>
  <c r="AB15" i="1" s="1"/>
  <c r="AG35" i="1"/>
  <c r="AB35" i="1" s="1"/>
  <c r="AG24" i="1"/>
  <c r="AB24" i="1" s="1"/>
  <c r="AG30" i="1"/>
  <c r="AB30" i="1" s="1"/>
  <c r="AG51" i="1"/>
  <c r="AB51" i="1" s="1"/>
  <c r="AG12" i="1"/>
  <c r="AB12" i="1" s="1"/>
  <c r="AG40" i="1"/>
  <c r="AB40" i="1" s="1"/>
  <c r="AG10" i="1"/>
  <c r="AG28" i="1"/>
  <c r="AB28" i="1" s="1"/>
  <c r="AG27" i="1"/>
  <c r="AB27" i="1" s="1"/>
  <c r="AG33" i="1"/>
  <c r="AB33" i="1" s="1"/>
  <c r="AG14" i="1"/>
  <c r="AB14" i="1" s="1"/>
  <c r="AG45" i="1"/>
  <c r="AB45" i="1" s="1"/>
  <c r="AG52" i="1"/>
  <c r="AB52" i="1" s="1"/>
  <c r="AG47" i="1"/>
  <c r="AB47" i="1" s="1"/>
  <c r="AG49" i="1"/>
  <c r="AB49" i="1" s="1"/>
  <c r="AG19" i="1"/>
  <c r="AB19" i="1" s="1"/>
  <c r="AG13" i="1"/>
  <c r="AB13" i="1" s="1"/>
  <c r="AG20" i="1"/>
  <c r="AB22" i="1"/>
  <c r="AB11" i="1"/>
  <c r="AB32" i="1"/>
  <c r="AB9" i="1"/>
  <c r="AB16" i="1"/>
  <c r="AM295" i="1" l="1"/>
  <c r="N28" i="159" s="1"/>
  <c r="S28" i="159" s="1"/>
  <c r="AM266" i="1"/>
  <c r="N317" i="159" s="1"/>
  <c r="S317" i="159" s="1"/>
  <c r="AM123" i="1"/>
  <c r="N27" i="159" s="1"/>
  <c r="S27" i="159" s="1"/>
  <c r="AM119" i="1"/>
  <c r="N30" i="159" s="1"/>
  <c r="S30" i="159" s="1"/>
  <c r="AK262" i="1"/>
  <c r="AA262" i="1" s="1"/>
  <c r="AK86" i="1"/>
  <c r="AA86" i="1" s="1"/>
  <c r="N59" i="71"/>
  <c r="AA273" i="1"/>
  <c r="S140" i="159"/>
  <c r="AM256" i="1"/>
  <c r="N179" i="159" s="1"/>
  <c r="R179" i="159" s="1"/>
  <c r="AK256" i="1"/>
  <c r="AA256" i="1" s="1"/>
  <c r="AI302" i="1"/>
  <c r="AK302" i="1" s="1"/>
  <c r="AA302" i="1" s="1"/>
  <c r="AI125" i="1"/>
  <c r="AM125" i="1" s="1"/>
  <c r="N6" i="159" s="1"/>
  <c r="AI81" i="1"/>
  <c r="AM81" i="1" s="1"/>
  <c r="N256" i="159" s="1"/>
  <c r="AI82" i="1"/>
  <c r="AK82" i="1" s="1"/>
  <c r="AA82" i="1" s="1"/>
  <c r="AI120" i="1"/>
  <c r="AM120" i="1" s="1"/>
  <c r="N255" i="159" s="1"/>
  <c r="AI303" i="1"/>
  <c r="AK303" i="1" s="1"/>
  <c r="AA303" i="1" s="1"/>
  <c r="AI127" i="1"/>
  <c r="AK127" i="1" s="1"/>
  <c r="AA127" i="1" s="1"/>
  <c r="AI121" i="1"/>
  <c r="AM121" i="1" s="1"/>
  <c r="N385" i="159" s="1"/>
  <c r="AI199" i="1"/>
  <c r="AM199" i="1" s="1"/>
  <c r="N383" i="159" s="1"/>
  <c r="P26" i="139"/>
  <c r="Q26" i="139"/>
  <c r="R26" i="139" s="1"/>
  <c r="P18" i="139"/>
  <c r="Q18" i="139"/>
  <c r="R18" i="139" s="1"/>
  <c r="R57" i="139"/>
  <c r="AI378" i="1" s="1"/>
  <c r="AM378" i="1" s="1"/>
  <c r="N345" i="159" s="1"/>
  <c r="J43" i="139"/>
  <c r="K43" i="139" s="1"/>
  <c r="J38" i="139"/>
  <c r="K38" i="139" s="1"/>
  <c r="J19" i="139"/>
  <c r="K19" i="139" s="1"/>
  <c r="J30" i="139"/>
  <c r="K30" i="139" s="1"/>
  <c r="I30" i="139"/>
  <c r="J24" i="139"/>
  <c r="K24" i="139" s="1"/>
  <c r="I24" i="139"/>
  <c r="O2" i="139"/>
  <c r="R9" i="139"/>
  <c r="AI274" i="1" s="1"/>
  <c r="AM274" i="1" s="1"/>
  <c r="N162" i="159" s="1"/>
  <c r="H2" i="139"/>
  <c r="AG4" i="1"/>
  <c r="S318" i="159"/>
  <c r="R318" i="159"/>
  <c r="S137" i="159"/>
  <c r="R137" i="159"/>
  <c r="S205" i="159"/>
  <c r="R205" i="159"/>
  <c r="S315" i="159"/>
  <c r="R315" i="159"/>
  <c r="S29" i="159"/>
  <c r="R29" i="159"/>
  <c r="S238" i="159"/>
  <c r="R238" i="159"/>
  <c r="S12" i="159"/>
  <c r="R12" i="159"/>
  <c r="S32" i="159"/>
  <c r="R32" i="159"/>
  <c r="R69" i="159"/>
  <c r="S69" i="159"/>
  <c r="S316" i="159"/>
  <c r="R316" i="159"/>
  <c r="P56" i="139"/>
  <c r="P46" i="139"/>
  <c r="P23" i="139"/>
  <c r="P52" i="139"/>
  <c r="P40" i="139"/>
  <c r="P14" i="139"/>
  <c r="P55" i="139"/>
  <c r="P53" i="139"/>
  <c r="P51" i="139"/>
  <c r="P60" i="139"/>
  <c r="P42" i="139"/>
  <c r="P48" i="139"/>
  <c r="P50" i="139"/>
  <c r="P29" i="139"/>
  <c r="P21" i="139"/>
  <c r="P22" i="139"/>
  <c r="P44" i="139"/>
  <c r="P58" i="139"/>
  <c r="P49" i="139"/>
  <c r="P59" i="139"/>
  <c r="P39" i="139"/>
  <c r="AB10" i="1"/>
  <c r="AB20" i="1"/>
  <c r="R28" i="159" l="1"/>
  <c r="R317" i="159"/>
  <c r="AK120" i="1"/>
  <c r="AA120" i="1" s="1"/>
  <c r="AK81" i="1"/>
  <c r="AA81" i="1" s="1"/>
  <c r="AM82" i="1"/>
  <c r="N253" i="159" s="1"/>
  <c r="R30" i="159"/>
  <c r="AM302" i="1"/>
  <c r="N8" i="159" s="1"/>
  <c r="R8" i="159" s="1"/>
  <c r="R27" i="159"/>
  <c r="AK121" i="1"/>
  <c r="AA121" i="1" s="1"/>
  <c r="AK125" i="1"/>
  <c r="AA125" i="1" s="1"/>
  <c r="AM127" i="1"/>
  <c r="N384" i="159" s="1"/>
  <c r="S384" i="159" s="1"/>
  <c r="S179" i="159"/>
  <c r="AK199" i="1"/>
  <c r="AA199" i="1" s="1"/>
  <c r="AM303" i="1"/>
  <c r="N382" i="159" s="1"/>
  <c r="S382" i="159" s="1"/>
  <c r="AI293" i="1"/>
  <c r="AM293" i="1" s="1"/>
  <c r="N81" i="159" s="1"/>
  <c r="AI289" i="1"/>
  <c r="AK289" i="1" s="1"/>
  <c r="AA289" i="1" s="1"/>
  <c r="AI337" i="1"/>
  <c r="AK337" i="1" s="1"/>
  <c r="AA337" i="1" s="1"/>
  <c r="AI122" i="1"/>
  <c r="AM122" i="1" s="1"/>
  <c r="N84" i="159" s="1"/>
  <c r="AI124" i="1"/>
  <c r="AK124" i="1" s="1"/>
  <c r="AA124" i="1" s="1"/>
  <c r="AI128" i="1"/>
  <c r="AK128" i="1" s="1"/>
  <c r="AA128" i="1" s="1"/>
  <c r="AI228" i="1"/>
  <c r="AK228" i="1" s="1"/>
  <c r="AA228" i="1" s="1"/>
  <c r="AI130" i="1"/>
  <c r="AK130" i="1" s="1"/>
  <c r="AA130" i="1" s="1"/>
  <c r="AI126" i="1"/>
  <c r="AK126" i="1" s="1"/>
  <c r="AA126" i="1" s="1"/>
  <c r="AK378" i="1"/>
  <c r="AA378" i="1" s="1"/>
  <c r="AI132" i="1"/>
  <c r="AK132" i="1" s="1"/>
  <c r="AA132" i="1" s="1"/>
  <c r="AI264" i="1"/>
  <c r="AK264" i="1" s="1"/>
  <c r="AA264" i="1" s="1"/>
  <c r="R53" i="139"/>
  <c r="AI74" i="1" s="1"/>
  <c r="AM74" i="1" s="1"/>
  <c r="N161" i="159" s="1"/>
  <c r="R58" i="139"/>
  <c r="R29" i="139"/>
  <c r="AI11" i="1" s="1"/>
  <c r="R14" i="139"/>
  <c r="AI133" i="1" s="1"/>
  <c r="R39" i="139"/>
  <c r="AI174" i="1" s="1"/>
  <c r="R50" i="139"/>
  <c r="AI327" i="1" s="1"/>
  <c r="R40" i="139"/>
  <c r="AI59" i="1" s="1"/>
  <c r="R60" i="139"/>
  <c r="AI207" i="1" s="1"/>
  <c r="R51" i="139"/>
  <c r="AI284" i="1" s="1"/>
  <c r="R56" i="139"/>
  <c r="AI178" i="1" s="1"/>
  <c r="R21" i="139"/>
  <c r="AI76" i="1" s="1"/>
  <c r="R59" i="139"/>
  <c r="AI387" i="1" s="1"/>
  <c r="AM387" i="1" s="1"/>
  <c r="N31" i="159" s="1"/>
  <c r="R52" i="139"/>
  <c r="AI158" i="1" s="1"/>
  <c r="R22" i="139"/>
  <c r="AI409" i="1" s="1"/>
  <c r="R55" i="139"/>
  <c r="R48" i="139"/>
  <c r="AI83" i="1" s="1"/>
  <c r="AM83" i="1" s="1"/>
  <c r="N66" i="159" s="1"/>
  <c r="R49" i="139"/>
  <c r="AI290" i="1" s="1"/>
  <c r="R42" i="139"/>
  <c r="AI291" i="1" s="1"/>
  <c r="R23" i="139"/>
  <c r="AI329" i="1" s="1"/>
  <c r="R46" i="139"/>
  <c r="AI397" i="1" s="1"/>
  <c r="R44" i="139"/>
  <c r="AI347" i="1" s="1"/>
  <c r="AK274" i="1"/>
  <c r="AA274" i="1" s="1"/>
  <c r="S383" i="159"/>
  <c r="R383" i="159"/>
  <c r="S256" i="159"/>
  <c r="R256" i="159"/>
  <c r="S345" i="159"/>
  <c r="R345" i="159"/>
  <c r="S162" i="159"/>
  <c r="R162" i="159"/>
  <c r="S385" i="159"/>
  <c r="R385" i="159"/>
  <c r="S253" i="159"/>
  <c r="R253" i="159"/>
  <c r="R255" i="159"/>
  <c r="S255" i="159"/>
  <c r="S6" i="159"/>
  <c r="R6" i="159"/>
  <c r="AI9" i="1"/>
  <c r="AI60" i="1"/>
  <c r="AI29" i="1"/>
  <c r="P34" i="139"/>
  <c r="P47" i="139"/>
  <c r="AH378" i="1"/>
  <c r="AH273" i="1"/>
  <c r="AH131" i="1"/>
  <c r="P35" i="139"/>
  <c r="P54" i="139"/>
  <c r="P36" i="139"/>
  <c r="P45" i="139"/>
  <c r="P37" i="139"/>
  <c r="P24" i="139"/>
  <c r="P25" i="139"/>
  <c r="P30" i="139"/>
  <c r="P38" i="139"/>
  <c r="P28" i="139"/>
  <c r="P19" i="139"/>
  <c r="P43" i="139"/>
  <c r="AM132" i="1" l="1"/>
  <c r="N82" i="159" s="1"/>
  <c r="AI388" i="1"/>
  <c r="AI382" i="1"/>
  <c r="AK382" i="1" s="1"/>
  <c r="AA382" i="1" s="1"/>
  <c r="AI395" i="1"/>
  <c r="AI325" i="1"/>
  <c r="R384" i="159"/>
  <c r="S8" i="159"/>
  <c r="AI328" i="1"/>
  <c r="AM328" i="1" s="1"/>
  <c r="N242" i="159" s="1"/>
  <c r="AI285" i="1"/>
  <c r="AM285" i="1" s="1"/>
  <c r="N241" i="159" s="1"/>
  <c r="AI68" i="1"/>
  <c r="AK68" i="1" s="1"/>
  <c r="AA68" i="1" s="1"/>
  <c r="AI249" i="1"/>
  <c r="AM249" i="1" s="1"/>
  <c r="N245" i="159" s="1"/>
  <c r="AM128" i="1"/>
  <c r="N80" i="159" s="1"/>
  <c r="AI394" i="1"/>
  <c r="AI330" i="1"/>
  <c r="AK330" i="1" s="1"/>
  <c r="AA330" i="1" s="1"/>
  <c r="AM337" i="1"/>
  <c r="N83" i="159" s="1"/>
  <c r="S83" i="159" s="1"/>
  <c r="AI326" i="1"/>
  <c r="AK326" i="1" s="1"/>
  <c r="AA326" i="1" s="1"/>
  <c r="AI182" i="1"/>
  <c r="AK182" i="1" s="1"/>
  <c r="AA182" i="1" s="1"/>
  <c r="AI246" i="1"/>
  <c r="AM246" i="1" s="1"/>
  <c r="N250" i="159" s="1"/>
  <c r="AM130" i="1"/>
  <c r="N344" i="159" s="1"/>
  <c r="R344" i="159" s="1"/>
  <c r="AI401" i="1"/>
  <c r="AI202" i="1"/>
  <c r="AM228" i="1"/>
  <c r="N343" i="159" s="1"/>
  <c r="R343" i="159" s="1"/>
  <c r="AM289" i="1"/>
  <c r="N79" i="159" s="1"/>
  <c r="S79" i="159" s="1"/>
  <c r="AI355" i="1"/>
  <c r="AK355" i="1" s="1"/>
  <c r="AA355" i="1" s="1"/>
  <c r="R382" i="159"/>
  <c r="AM126" i="1"/>
  <c r="N341" i="159" s="1"/>
  <c r="R341" i="159" s="1"/>
  <c r="AI198" i="1"/>
  <c r="AM198" i="1" s="1"/>
  <c r="N387" i="159" s="1"/>
  <c r="AI62" i="1"/>
  <c r="AI313" i="1"/>
  <c r="AK74" i="1"/>
  <c r="AA74" i="1" s="1"/>
  <c r="AK293" i="1"/>
  <c r="AA293" i="1" s="1"/>
  <c r="AI250" i="1"/>
  <c r="AM250" i="1" s="1"/>
  <c r="N167" i="159" s="1"/>
  <c r="AI224" i="1"/>
  <c r="AI75" i="1"/>
  <c r="AI332" i="1"/>
  <c r="AI213" i="1"/>
  <c r="AI180" i="1"/>
  <c r="AI164" i="1"/>
  <c r="AI339" i="1"/>
  <c r="AK122" i="1"/>
  <c r="AA122" i="1" s="1"/>
  <c r="AI399" i="1"/>
  <c r="AM399" i="1" s="1"/>
  <c r="N154" i="159" s="1"/>
  <c r="AI42" i="1"/>
  <c r="AI143" i="1"/>
  <c r="AK143" i="1" s="1"/>
  <c r="AA143" i="1" s="1"/>
  <c r="AM124" i="1"/>
  <c r="N86" i="159" s="1"/>
  <c r="AI261" i="1"/>
  <c r="AK261" i="1" s="1"/>
  <c r="AA261" i="1" s="1"/>
  <c r="AI281" i="1"/>
  <c r="AK281" i="1" s="1"/>
  <c r="AA281" i="1" s="1"/>
  <c r="AI88" i="1"/>
  <c r="AK88" i="1" s="1"/>
  <c r="AA88" i="1" s="1"/>
  <c r="AI363" i="1"/>
  <c r="AM363" i="1" s="1"/>
  <c r="N215" i="159" s="1"/>
  <c r="AK83" i="1"/>
  <c r="AA83" i="1" s="1"/>
  <c r="AI184" i="1"/>
  <c r="AI252" i="1"/>
  <c r="AM252" i="1" s="1"/>
  <c r="N208" i="159" s="1"/>
  <c r="AI181" i="1"/>
  <c r="AI201" i="1"/>
  <c r="AI150" i="1"/>
  <c r="AI237" i="1"/>
  <c r="AI384" i="1"/>
  <c r="AK207" i="1"/>
  <c r="AA207" i="1" s="1"/>
  <c r="AM264" i="1"/>
  <c r="N78" i="159" s="1"/>
  <c r="R78" i="159" s="1"/>
  <c r="AM207" i="1"/>
  <c r="N379" i="159" s="1"/>
  <c r="S379" i="159" s="1"/>
  <c r="AI168" i="1"/>
  <c r="AI298" i="1"/>
  <c r="AK298" i="1" s="1"/>
  <c r="AA298" i="1" s="1"/>
  <c r="AI361" i="1"/>
  <c r="AM361" i="1" s="1"/>
  <c r="N45" i="159" s="1"/>
  <c r="AI192" i="1"/>
  <c r="AK192" i="1" s="1"/>
  <c r="AA192" i="1" s="1"/>
  <c r="AI64" i="1"/>
  <c r="AI171" i="1"/>
  <c r="AI364" i="1"/>
  <c r="AK364" i="1" s="1"/>
  <c r="AA364" i="1" s="1"/>
  <c r="AI236" i="1"/>
  <c r="AK236" i="1" s="1"/>
  <c r="AA236" i="1" s="1"/>
  <c r="AI186" i="1"/>
  <c r="AM186" i="1" s="1"/>
  <c r="N410" i="159" s="1"/>
  <c r="AI210" i="1"/>
  <c r="AI212" i="1"/>
  <c r="AI217" i="1"/>
  <c r="AK217" i="1" s="1"/>
  <c r="AA217" i="1" s="1"/>
  <c r="AI376" i="1"/>
  <c r="AM376" i="1" s="1"/>
  <c r="N55" i="159" s="1"/>
  <c r="AI84" i="1"/>
  <c r="AI408" i="1"/>
  <c r="AI240" i="1"/>
  <c r="AM240" i="1" s="1"/>
  <c r="N397" i="159" s="1"/>
  <c r="AI204" i="1"/>
  <c r="AI209" i="1"/>
  <c r="AK209" i="1" s="1"/>
  <c r="AA209" i="1" s="1"/>
  <c r="AI315" i="1"/>
  <c r="AM315" i="1" s="1"/>
  <c r="N88" i="159" s="1"/>
  <c r="AI208" i="1"/>
  <c r="AI219" i="1"/>
  <c r="AI185" i="1"/>
  <c r="AI230" i="1"/>
  <c r="AK230" i="1" s="1"/>
  <c r="AA230" i="1" s="1"/>
  <c r="AI380" i="1"/>
  <c r="AM380" i="1" s="1"/>
  <c r="N400" i="159" s="1"/>
  <c r="AI211" i="1"/>
  <c r="AK211" i="1" s="1"/>
  <c r="AA211" i="1" s="1"/>
  <c r="AI176" i="1"/>
  <c r="AI214" i="1"/>
  <c r="AK214" i="1" s="1"/>
  <c r="AA214" i="1" s="1"/>
  <c r="AI203" i="1"/>
  <c r="AI191" i="1"/>
  <c r="AI220" i="1"/>
  <c r="AK220" i="1" s="1"/>
  <c r="AA220" i="1" s="1"/>
  <c r="AI206" i="1"/>
  <c r="R24" i="139"/>
  <c r="AI50" i="1" s="1"/>
  <c r="R28" i="139"/>
  <c r="AI297" i="1" s="1"/>
  <c r="R54" i="139"/>
  <c r="AI110" i="1" s="1"/>
  <c r="R38" i="139"/>
  <c r="AI205" i="1" s="1"/>
  <c r="R35" i="139"/>
  <c r="AI321" i="1" s="1"/>
  <c r="AK321" i="1" s="1"/>
  <c r="AA321" i="1" s="1"/>
  <c r="AI197" i="1"/>
  <c r="AM197" i="1" s="1"/>
  <c r="N386" i="159" s="1"/>
  <c r="AI362" i="1"/>
  <c r="AI172" i="1"/>
  <c r="AI156" i="1"/>
  <c r="AK156" i="1" s="1"/>
  <c r="AA156" i="1" s="1"/>
  <c r="AI154" i="1"/>
  <c r="AM154" i="1" s="1"/>
  <c r="N65" i="159" s="1"/>
  <c r="R45" i="139"/>
  <c r="AI69" i="1" s="1"/>
  <c r="R34" i="139"/>
  <c r="AI305" i="1" s="1"/>
  <c r="R19" i="139"/>
  <c r="AI63" i="1" s="1"/>
  <c r="AI160" i="1"/>
  <c r="AM160" i="1" s="1"/>
  <c r="N389" i="159" s="1"/>
  <c r="AI360" i="1"/>
  <c r="AK360" i="1" s="1"/>
  <c r="AA360" i="1" s="1"/>
  <c r="AI238" i="1"/>
  <c r="AM238" i="1" s="1"/>
  <c r="N56" i="159" s="1"/>
  <c r="AI85" i="1"/>
  <c r="AM85" i="1" s="1"/>
  <c r="N61" i="159" s="1"/>
  <c r="AI105" i="1"/>
  <c r="AK105" i="1" s="1"/>
  <c r="AA105" i="1" s="1"/>
  <c r="R36" i="139"/>
  <c r="AI144" i="1" s="1"/>
  <c r="R30" i="139"/>
  <c r="AI38" i="1" s="1"/>
  <c r="R25" i="139"/>
  <c r="AI244" i="1" s="1"/>
  <c r="AI299" i="1"/>
  <c r="AM299" i="1" s="1"/>
  <c r="N34" i="159" s="1"/>
  <c r="AI373" i="1"/>
  <c r="AI194" i="1"/>
  <c r="AK194" i="1" s="1"/>
  <c r="AA194" i="1" s="1"/>
  <c r="AI80" i="1"/>
  <c r="AK80" i="1" s="1"/>
  <c r="AA80" i="1" s="1"/>
  <c r="AI221" i="1"/>
  <c r="AI155" i="1"/>
  <c r="AK155" i="1" s="1"/>
  <c r="AA155" i="1" s="1"/>
  <c r="AI166" i="1"/>
  <c r="AK387" i="1"/>
  <c r="AA387" i="1" s="1"/>
  <c r="R37" i="139"/>
  <c r="AI231" i="1" s="1"/>
  <c r="R47" i="139"/>
  <c r="AI319" i="1" s="1"/>
  <c r="AI371" i="1"/>
  <c r="AK371" i="1" s="1"/>
  <c r="AA371" i="1" s="1"/>
  <c r="AI148" i="1"/>
  <c r="AM148" i="1" s="1"/>
  <c r="N44" i="159" s="1"/>
  <c r="AI108" i="1"/>
  <c r="AM108" i="1" s="1"/>
  <c r="N54" i="159" s="1"/>
  <c r="R43" i="139"/>
  <c r="AI234" i="1" s="1"/>
  <c r="J2" i="139"/>
  <c r="Q2" i="139"/>
  <c r="S82" i="159"/>
  <c r="R82" i="159"/>
  <c r="S78" i="159"/>
  <c r="S344" i="159"/>
  <c r="S343" i="159"/>
  <c r="S86" i="159"/>
  <c r="R86" i="159"/>
  <c r="S84" i="159"/>
  <c r="R84" i="159"/>
  <c r="S31" i="159"/>
  <c r="R31" i="159"/>
  <c r="S80" i="159"/>
  <c r="R80" i="159"/>
  <c r="S341" i="159"/>
  <c r="S81" i="159"/>
  <c r="R81" i="159"/>
  <c r="S66" i="159"/>
  <c r="R66" i="159"/>
  <c r="S161" i="159"/>
  <c r="R161" i="159"/>
  <c r="AI271" i="1"/>
  <c r="AI44" i="1"/>
  <c r="AM325" i="1"/>
  <c r="N251" i="159" s="1"/>
  <c r="AK325" i="1"/>
  <c r="AA325" i="1" s="1"/>
  <c r="AM60" i="1"/>
  <c r="N25" i="159" s="1"/>
  <c r="AK60" i="1"/>
  <c r="AA60" i="1" s="1"/>
  <c r="AM213" i="1"/>
  <c r="N214" i="159" s="1"/>
  <c r="AK213" i="1"/>
  <c r="AA213" i="1" s="1"/>
  <c r="AM143" i="1"/>
  <c r="N156" i="159" s="1"/>
  <c r="AK409" i="1"/>
  <c r="AA409" i="1" s="1"/>
  <c r="AM409" i="1"/>
  <c r="N239" i="159" s="1"/>
  <c r="AK290" i="1"/>
  <c r="AA290" i="1" s="1"/>
  <c r="AM290" i="1"/>
  <c r="N40" i="159" s="1"/>
  <c r="AM62" i="1"/>
  <c r="N49" i="159" s="1"/>
  <c r="AK62" i="1"/>
  <c r="AA62" i="1" s="1"/>
  <c r="AM230" i="1"/>
  <c r="N91" i="159" s="1"/>
  <c r="AM68" i="1"/>
  <c r="N252" i="159" s="1"/>
  <c r="AK59" i="1"/>
  <c r="AA59" i="1" s="1"/>
  <c r="AM59" i="1"/>
  <c r="N24" i="159" s="1"/>
  <c r="AM180" i="1"/>
  <c r="N210" i="159" s="1"/>
  <c r="AM181" i="1"/>
  <c r="N390" i="159" s="1"/>
  <c r="AK181" i="1"/>
  <c r="AA181" i="1" s="1"/>
  <c r="AM184" i="1"/>
  <c r="N63" i="159" s="1"/>
  <c r="AK184" i="1"/>
  <c r="AA184" i="1" s="1"/>
  <c r="AM364" i="1"/>
  <c r="N48" i="159" s="1"/>
  <c r="AM133" i="1"/>
  <c r="N90" i="159" s="1"/>
  <c r="AK133" i="1"/>
  <c r="AA133" i="1" s="1"/>
  <c r="AI95" i="1"/>
  <c r="AI159" i="1"/>
  <c r="AI188" i="1"/>
  <c r="AI139" i="1"/>
  <c r="AK395" i="1"/>
  <c r="AA395" i="1" s="1"/>
  <c r="AM395" i="1"/>
  <c r="N246" i="159" s="1"/>
  <c r="AK249" i="1"/>
  <c r="AA249" i="1" s="1"/>
  <c r="AK252" i="1"/>
  <c r="AA252" i="1" s="1"/>
  <c r="AM236" i="1"/>
  <c r="N36" i="159" s="1"/>
  <c r="AK347" i="1"/>
  <c r="AA347" i="1" s="1"/>
  <c r="AM347" i="1"/>
  <c r="N77" i="159" s="1"/>
  <c r="AM401" i="1"/>
  <c r="N158" i="159" s="1"/>
  <c r="AK401" i="1"/>
  <c r="AA401" i="1" s="1"/>
  <c r="AK394" i="1"/>
  <c r="AA394" i="1" s="1"/>
  <c r="AM394" i="1"/>
  <c r="N243" i="159" s="1"/>
  <c r="AK237" i="1"/>
  <c r="AA237" i="1" s="1"/>
  <c r="AK362" i="1"/>
  <c r="AA362" i="1" s="1"/>
  <c r="AM362" i="1"/>
  <c r="N57" i="159" s="1"/>
  <c r="AM172" i="1"/>
  <c r="N37" i="159" s="1"/>
  <c r="AK291" i="1"/>
  <c r="AA291" i="1" s="1"/>
  <c r="AM291" i="1"/>
  <c r="N138" i="159" s="1"/>
  <c r="AM382" i="1"/>
  <c r="N249" i="159" s="1"/>
  <c r="AK380" i="1"/>
  <c r="AA380" i="1" s="1"/>
  <c r="AK363" i="1"/>
  <c r="AA363" i="1" s="1"/>
  <c r="AK76" i="1"/>
  <c r="AA76" i="1" s="1"/>
  <c r="AM76" i="1"/>
  <c r="N163" i="159" s="1"/>
  <c r="AK174" i="1"/>
  <c r="AA174" i="1" s="1"/>
  <c r="AM174" i="1"/>
  <c r="N388" i="159" s="1"/>
  <c r="AK238" i="1"/>
  <c r="AA238" i="1" s="1"/>
  <c r="AK85" i="1"/>
  <c r="AA85" i="1" s="1"/>
  <c r="AI37" i="1"/>
  <c r="AI353" i="1"/>
  <c r="AI292" i="1"/>
  <c r="AI77" i="1"/>
  <c r="AI335" i="1"/>
  <c r="AI280" i="1"/>
  <c r="AM182" i="1"/>
  <c r="N157" i="159" s="1"/>
  <c r="AM327" i="1"/>
  <c r="N248" i="159" s="1"/>
  <c r="AK327" i="1"/>
  <c r="AA327" i="1" s="1"/>
  <c r="AM355" i="1"/>
  <c r="N211" i="159" s="1"/>
  <c r="AK164" i="1"/>
  <c r="AA164" i="1" s="1"/>
  <c r="AK75" i="1"/>
  <c r="AA75" i="1" s="1"/>
  <c r="AM75" i="1"/>
  <c r="N165" i="159" s="1"/>
  <c r="AM373" i="1"/>
  <c r="N41" i="159" s="1"/>
  <c r="AK373" i="1"/>
  <c r="AA373" i="1" s="1"/>
  <c r="AM80" i="1"/>
  <c r="N62" i="159" s="1"/>
  <c r="AK284" i="1"/>
  <c r="AA284" i="1" s="1"/>
  <c r="AM284" i="1"/>
  <c r="N160" i="159" s="1"/>
  <c r="AM326" i="1"/>
  <c r="N244" i="159" s="1"/>
  <c r="AM206" i="1"/>
  <c r="N393" i="159" s="1"/>
  <c r="AK206" i="1"/>
  <c r="AA206" i="1" s="1"/>
  <c r="AK178" i="1"/>
  <c r="AA178" i="1" s="1"/>
  <c r="AM178" i="1"/>
  <c r="N398" i="159" s="1"/>
  <c r="AM171" i="1"/>
  <c r="N213" i="159" s="1"/>
  <c r="AK171" i="1"/>
  <c r="AA171" i="1" s="1"/>
  <c r="AK408" i="1"/>
  <c r="AA408" i="1" s="1"/>
  <c r="AM408" i="1"/>
  <c r="N89" i="159" s="1"/>
  <c r="AM388" i="1"/>
  <c r="N247" i="159" s="1"/>
  <c r="AK388" i="1"/>
  <c r="AA388" i="1" s="1"/>
  <c r="AK246" i="1"/>
  <c r="AA246" i="1" s="1"/>
  <c r="AK332" i="1"/>
  <c r="AA332" i="1" s="1"/>
  <c r="AM332" i="1"/>
  <c r="N401" i="159" s="1"/>
  <c r="AK339" i="1"/>
  <c r="AA339" i="1" s="1"/>
  <c r="AM397" i="1"/>
  <c r="N212" i="159" s="1"/>
  <c r="AK397" i="1"/>
  <c r="AA397" i="1" s="1"/>
  <c r="AK329" i="1"/>
  <c r="AA329" i="1" s="1"/>
  <c r="AM329" i="1"/>
  <c r="N155" i="159" s="1"/>
  <c r="AM88" i="1"/>
  <c r="N169" i="159" s="1"/>
  <c r="AM371" i="1"/>
  <c r="N51" i="159" s="1"/>
  <c r="AK158" i="1"/>
  <c r="AA158" i="1" s="1"/>
  <c r="AM158" i="1"/>
  <c r="N38" i="159" s="1"/>
  <c r="AH73" i="1"/>
  <c r="AH66" i="1"/>
  <c r="AH195" i="1"/>
  <c r="AH244" i="1"/>
  <c r="AH398" i="1"/>
  <c r="AH404" i="1"/>
  <c r="AH396" i="1"/>
  <c r="AH160" i="1"/>
  <c r="AH174" i="1"/>
  <c r="AH198" i="1"/>
  <c r="AH181" i="1"/>
  <c r="AH197" i="1"/>
  <c r="AH125" i="1"/>
  <c r="AH302" i="1"/>
  <c r="AJ273" i="1"/>
  <c r="AL273" i="1"/>
  <c r="AH176" i="1"/>
  <c r="AH208" i="1"/>
  <c r="AH240" i="1"/>
  <c r="AH185" i="1"/>
  <c r="AH209" i="1"/>
  <c r="AH217" i="1"/>
  <c r="AH178" i="1"/>
  <c r="AH186" i="1"/>
  <c r="AH202" i="1"/>
  <c r="AH210" i="1"/>
  <c r="AH203" i="1"/>
  <c r="AH211" i="1"/>
  <c r="AH204" i="1"/>
  <c r="AH212" i="1"/>
  <c r="AH220" i="1"/>
  <c r="AH332" i="1"/>
  <c r="AH380" i="1"/>
  <c r="AH206" i="1"/>
  <c r="AH214" i="1"/>
  <c r="AH219" i="1"/>
  <c r="AH232" i="1"/>
  <c r="AH400" i="1"/>
  <c r="AH145" i="1"/>
  <c r="AH161" i="1"/>
  <c r="AH106" i="1"/>
  <c r="AH146" i="1"/>
  <c r="AH346" i="1"/>
  <c r="AH92" i="1"/>
  <c r="AH147" i="1"/>
  <c r="AH356" i="1"/>
  <c r="AH134" i="1"/>
  <c r="AH277" i="1"/>
  <c r="AH151" i="1"/>
  <c r="AH279" i="1"/>
  <c r="AH403" i="1"/>
  <c r="AH359" i="1"/>
  <c r="AH243" i="1"/>
  <c r="AH349" i="1"/>
  <c r="AH375" i="1"/>
  <c r="AH205" i="1"/>
  <c r="AH274" i="1"/>
  <c r="AH320" i="1"/>
  <c r="AH242" i="1"/>
  <c r="AH115" i="1"/>
  <c r="AH116" i="1"/>
  <c r="AH79" i="1"/>
  <c r="AH118" i="1"/>
  <c r="AH310" i="1"/>
  <c r="AH309" i="1"/>
  <c r="AH331" i="1"/>
  <c r="AH271" i="1"/>
  <c r="AH329" i="1"/>
  <c r="AH399" i="1"/>
  <c r="AH143" i="1"/>
  <c r="AH265" i="1"/>
  <c r="AH266" i="1"/>
  <c r="AH262" i="1"/>
  <c r="AH267" i="1"/>
  <c r="AH344" i="1"/>
  <c r="AH117" i="1"/>
  <c r="AH231" i="1"/>
  <c r="AH97" i="1"/>
  <c r="AH136" i="1"/>
  <c r="AH216" i="1"/>
  <c r="AH248" i="1"/>
  <c r="AH98" i="1"/>
  <c r="AH137" i="1"/>
  <c r="AH177" i="1"/>
  <c r="AH225" i="1"/>
  <c r="AH99" i="1"/>
  <c r="AH138" i="1"/>
  <c r="AH162" i="1"/>
  <c r="AH226" i="1"/>
  <c r="AH100" i="1"/>
  <c r="AH139" i="1"/>
  <c r="AH179" i="1"/>
  <c r="AH187" i="1"/>
  <c r="AH101" i="1"/>
  <c r="AH140" i="1"/>
  <c r="AH188" i="1"/>
  <c r="AH54" i="1"/>
  <c r="AH141" i="1"/>
  <c r="AH55" i="1"/>
  <c r="AH95" i="1"/>
  <c r="AH190" i="1"/>
  <c r="AH235" i="1"/>
  <c r="AH96" i="1"/>
  <c r="AH103" i="1"/>
  <c r="AH157" i="1"/>
  <c r="AH189" i="1"/>
  <c r="AH159" i="1"/>
  <c r="AH56" i="1"/>
  <c r="AH245" i="1"/>
  <c r="AH407" i="1"/>
  <c r="AH175" i="1"/>
  <c r="AH167" i="1"/>
  <c r="AH247" i="1"/>
  <c r="AH333" i="1"/>
  <c r="AH135" i="1"/>
  <c r="AH251" i="1"/>
  <c r="AH401" i="1"/>
  <c r="AH330" i="1"/>
  <c r="AH284" i="1"/>
  <c r="AH182" i="1"/>
  <c r="AH304" i="1"/>
  <c r="AH352" i="1"/>
  <c r="AH305" i="1"/>
  <c r="AH306" i="1"/>
  <c r="AH222" i="1"/>
  <c r="AH307" i="1"/>
  <c r="AH270" i="1"/>
  <c r="AH269" i="1"/>
  <c r="AH64" i="1"/>
  <c r="AH291" i="1"/>
  <c r="AH59" i="1"/>
  <c r="AH60" i="1"/>
  <c r="AH339" i="1"/>
  <c r="AH224" i="1"/>
  <c r="AH408" i="1"/>
  <c r="AH133" i="1"/>
  <c r="AH230" i="1"/>
  <c r="AH315" i="1"/>
  <c r="AH123" i="1"/>
  <c r="AH86" i="1"/>
  <c r="AH295" i="1"/>
  <c r="AH119" i="1"/>
  <c r="AH328" i="1"/>
  <c r="AH249" i="1"/>
  <c r="AH394" i="1"/>
  <c r="AH68" i="1"/>
  <c r="AH246" i="1"/>
  <c r="AH326" i="1"/>
  <c r="AH382" i="1"/>
  <c r="AH325" i="1"/>
  <c r="AH388" i="1"/>
  <c r="AH285" i="1"/>
  <c r="AH327" i="1"/>
  <c r="AH395" i="1"/>
  <c r="AH81" i="1"/>
  <c r="AH120" i="1"/>
  <c r="AH82" i="1"/>
  <c r="AH112" i="1"/>
  <c r="AH144" i="1"/>
  <c r="AH152" i="1"/>
  <c r="AH392" i="1"/>
  <c r="AH393" i="1"/>
  <c r="AH322" i="1"/>
  <c r="AH402" i="1"/>
  <c r="AH308" i="1"/>
  <c r="AH324" i="1"/>
  <c r="AH70" i="1"/>
  <c r="AH78" i="1"/>
  <c r="AH142" i="1"/>
  <c r="AH350" i="1"/>
  <c r="AH390" i="1"/>
  <c r="AH406" i="1"/>
  <c r="AH383" i="1"/>
  <c r="AH323" i="1"/>
  <c r="AH275" i="1"/>
  <c r="AH389" i="1"/>
  <c r="AH391" i="1"/>
  <c r="AH281" i="1"/>
  <c r="AH75" i="1"/>
  <c r="AH250" i="1"/>
  <c r="AH76" i="1"/>
  <c r="AH88" i="1"/>
  <c r="AH237" i="1"/>
  <c r="AH261" i="1"/>
  <c r="AH184" i="1"/>
  <c r="AH192" i="1"/>
  <c r="AH360" i="1"/>
  <c r="AH376" i="1"/>
  <c r="AH384" i="1"/>
  <c r="AH105" i="1"/>
  <c r="AH313" i="1"/>
  <c r="AH361" i="1"/>
  <c r="AH154" i="1"/>
  <c r="AH194" i="1"/>
  <c r="AH290" i="1"/>
  <c r="AH298" i="1"/>
  <c r="AH362" i="1"/>
  <c r="AH84" i="1"/>
  <c r="AH155" i="1"/>
  <c r="AH85" i="1"/>
  <c r="AH108" i="1"/>
  <c r="AH148" i="1"/>
  <c r="AH156" i="1"/>
  <c r="AH172" i="1"/>
  <c r="AH236" i="1"/>
  <c r="AH364" i="1"/>
  <c r="AH62" i="1"/>
  <c r="AH150" i="1"/>
  <c r="AH158" i="1"/>
  <c r="AH166" i="1"/>
  <c r="AH238" i="1"/>
  <c r="AH299" i="1"/>
  <c r="AH191" i="1"/>
  <c r="AH221" i="1"/>
  <c r="AH371" i="1"/>
  <c r="AH373" i="1"/>
  <c r="AH80" i="1"/>
  <c r="AL131" i="1"/>
  <c r="O68" i="159" s="1"/>
  <c r="AJ131" i="1"/>
  <c r="Z131" i="1" s="1"/>
  <c r="AH409" i="1"/>
  <c r="AH130" i="1"/>
  <c r="AH228" i="1"/>
  <c r="AH126" i="1"/>
  <c r="AH65" i="1"/>
  <c r="AH312" i="1"/>
  <c r="AH169" i="1"/>
  <c r="AH67" i="1"/>
  <c r="AH170" i="1"/>
  <c r="AH314" i="1"/>
  <c r="AH69" i="1"/>
  <c r="AH87" i="1"/>
  <c r="AH311" i="1"/>
  <c r="AH379" i="1"/>
  <c r="AH57" i="1"/>
  <c r="AH89" i="1"/>
  <c r="AH280" i="1"/>
  <c r="AH288" i="1"/>
  <c r="AH336" i="1"/>
  <c r="AH58" i="1"/>
  <c r="AH113" i="1"/>
  <c r="AH153" i="1"/>
  <c r="AH353" i="1"/>
  <c r="AH114" i="1"/>
  <c r="AH218" i="1"/>
  <c r="AH282" i="1"/>
  <c r="AH354" i="1"/>
  <c r="AH386" i="1"/>
  <c r="AH410" i="1"/>
  <c r="AH61" i="1"/>
  <c r="AH77" i="1"/>
  <c r="AH196" i="1"/>
  <c r="AH260" i="1"/>
  <c r="AH276" i="1"/>
  <c r="AH292" i="1"/>
  <c r="AH300" i="1"/>
  <c r="AH348" i="1"/>
  <c r="AH109" i="1"/>
  <c r="AH63" i="1"/>
  <c r="AH71" i="1"/>
  <c r="AH102" i="1"/>
  <c r="AH254" i="1"/>
  <c r="AH286" i="1"/>
  <c r="AH294" i="1"/>
  <c r="AH334" i="1"/>
  <c r="AH358" i="1"/>
  <c r="AH341" i="1"/>
  <c r="AH259" i="1"/>
  <c r="AH343" i="1"/>
  <c r="AH239" i="1"/>
  <c r="AH405" i="1"/>
  <c r="AH223" i="1"/>
  <c r="AH287" i="1"/>
  <c r="AH351" i="1"/>
  <c r="AH227" i="1"/>
  <c r="AH411" i="1"/>
  <c r="AH72" i="1"/>
  <c r="AH229" i="1"/>
  <c r="AH335" i="1"/>
  <c r="AH412" i="1"/>
  <c r="AL378" i="1"/>
  <c r="O345" i="159" s="1"/>
  <c r="AJ378" i="1"/>
  <c r="Z378" i="1" s="1"/>
  <c r="AI49" i="1"/>
  <c r="AI7" i="1"/>
  <c r="AI41" i="1"/>
  <c r="AH23" i="1"/>
  <c r="AI28" i="1"/>
  <c r="AH8" i="1"/>
  <c r="AH15" i="1"/>
  <c r="AI52" i="1"/>
  <c r="AH25" i="1"/>
  <c r="AH24" i="1"/>
  <c r="AH18" i="1"/>
  <c r="AH53" i="1"/>
  <c r="AH43" i="1"/>
  <c r="AH28" i="1"/>
  <c r="AH36" i="1"/>
  <c r="AI15" i="1"/>
  <c r="AI10" i="1"/>
  <c r="AI26" i="1"/>
  <c r="AI27" i="1"/>
  <c r="AI31" i="1"/>
  <c r="AI23" i="1"/>
  <c r="AI51" i="1"/>
  <c r="AI45" i="1"/>
  <c r="AH42" i="1"/>
  <c r="AH38" i="1"/>
  <c r="AI47" i="1"/>
  <c r="AI19" i="1"/>
  <c r="AH50" i="1"/>
  <c r="AH41" i="1"/>
  <c r="AH44" i="1"/>
  <c r="AH39" i="1"/>
  <c r="AH14" i="1"/>
  <c r="AH21" i="1"/>
  <c r="AH51" i="1"/>
  <c r="AH45" i="1"/>
  <c r="AI34" i="1"/>
  <c r="AI25" i="1"/>
  <c r="AI53" i="1"/>
  <c r="AI12" i="1"/>
  <c r="AI30" i="1"/>
  <c r="AH256" i="1"/>
  <c r="AH11" i="1"/>
  <c r="AH32" i="1"/>
  <c r="AH74" i="1"/>
  <c r="AH83" i="1"/>
  <c r="AH263" i="1"/>
  <c r="AH268" i="1"/>
  <c r="AH255" i="1"/>
  <c r="AH207" i="1"/>
  <c r="AI216" i="1" l="1"/>
  <c r="AI136" i="1"/>
  <c r="AM156" i="1"/>
  <c r="N52" i="159" s="1"/>
  <c r="AK240" i="1"/>
  <c r="AA240" i="1" s="1"/>
  <c r="AI247" i="1"/>
  <c r="AI99" i="1"/>
  <c r="AK148" i="1"/>
  <c r="AA148" i="1" s="1"/>
  <c r="AI190" i="1"/>
  <c r="AK190" i="1" s="1"/>
  <c r="AA190" i="1" s="1"/>
  <c r="AI98" i="1"/>
  <c r="AI189" i="1"/>
  <c r="AI135" i="1"/>
  <c r="AI179" i="1"/>
  <c r="AK198" i="1"/>
  <c r="AA198" i="1" s="1"/>
  <c r="AI248" i="1"/>
  <c r="AI251" i="1"/>
  <c r="AK202" i="1"/>
  <c r="AA202" i="1" s="1"/>
  <c r="AM330" i="1"/>
  <c r="N159" i="159" s="1"/>
  <c r="AM202" i="1"/>
  <c r="N396" i="159" s="1"/>
  <c r="AM261" i="1"/>
  <c r="N170" i="159" s="1"/>
  <c r="AM192" i="1"/>
  <c r="N47" i="159" s="1"/>
  <c r="S47" i="159" s="1"/>
  <c r="AM214" i="1"/>
  <c r="N406" i="159" s="1"/>
  <c r="AK328" i="1"/>
  <c r="AA328" i="1" s="1"/>
  <c r="AI39" i="1"/>
  <c r="AM339" i="1"/>
  <c r="N26" i="159" s="1"/>
  <c r="S26" i="159" s="1"/>
  <c r="AI356" i="1"/>
  <c r="R79" i="159"/>
  <c r="AI32" i="1"/>
  <c r="AM321" i="1"/>
  <c r="N5" i="159" s="1"/>
  <c r="AI153" i="1"/>
  <c r="AI287" i="1"/>
  <c r="AI405" i="1"/>
  <c r="AI276" i="1"/>
  <c r="AK276" i="1" s="1"/>
  <c r="AA276" i="1" s="1"/>
  <c r="AI57" i="1"/>
  <c r="AM237" i="1"/>
  <c r="N166" i="159" s="1"/>
  <c r="S166" i="159" s="1"/>
  <c r="AI21" i="1"/>
  <c r="AI36" i="1"/>
  <c r="AI16" i="1"/>
  <c r="AK203" i="1"/>
  <c r="AA203" i="1" s="1"/>
  <c r="AI411" i="1"/>
  <c r="AI358" i="1"/>
  <c r="AI239" i="1"/>
  <c r="AM239" i="1" s="1"/>
  <c r="N289" i="159" s="1"/>
  <c r="AI341" i="1"/>
  <c r="AI260" i="1"/>
  <c r="AI113" i="1"/>
  <c r="AK208" i="1"/>
  <c r="AA208" i="1" s="1"/>
  <c r="AM203" i="1"/>
  <c r="N392" i="159" s="1"/>
  <c r="AI410" i="1"/>
  <c r="AI412" i="1"/>
  <c r="AI223" i="1"/>
  <c r="AI229" i="1"/>
  <c r="AI196" i="1"/>
  <c r="AI58" i="1"/>
  <c r="AM208" i="1"/>
  <c r="N403" i="159" s="1"/>
  <c r="AM217" i="1"/>
  <c r="N408" i="159" s="1"/>
  <c r="AI288" i="1"/>
  <c r="AI354" i="1"/>
  <c r="AM354" i="1" s="1"/>
  <c r="N261" i="159" s="1"/>
  <c r="AI334" i="1"/>
  <c r="AI114" i="1"/>
  <c r="AI61" i="1"/>
  <c r="AI72" i="1"/>
  <c r="AI13" i="1"/>
  <c r="AI282" i="1"/>
  <c r="AI336" i="1"/>
  <c r="AI294" i="1"/>
  <c r="AI89" i="1"/>
  <c r="AI259" i="1"/>
  <c r="AI102" i="1"/>
  <c r="AK285" i="1"/>
  <c r="AA285" i="1" s="1"/>
  <c r="AI195" i="1"/>
  <c r="AI48" i="1"/>
  <c r="AI218" i="1"/>
  <c r="AI351" i="1"/>
  <c r="AM351" i="1" s="1"/>
  <c r="N307" i="159" s="1"/>
  <c r="AI286" i="1"/>
  <c r="AI348" i="1"/>
  <c r="AI227" i="1"/>
  <c r="AI71" i="1"/>
  <c r="AK250" i="1"/>
  <c r="AA250" i="1" s="1"/>
  <c r="AI386" i="1"/>
  <c r="AI343" i="1"/>
  <c r="AK343" i="1" s="1"/>
  <c r="AA343" i="1" s="1"/>
  <c r="AI254" i="1"/>
  <c r="AI300" i="1"/>
  <c r="AI109" i="1"/>
  <c r="AM164" i="1"/>
  <c r="N206" i="159" s="1"/>
  <c r="AI149" i="1"/>
  <c r="AI6" i="1"/>
  <c r="AK176" i="1"/>
  <c r="AA176" i="1" s="1"/>
  <c r="AM155" i="1"/>
  <c r="N35" i="159" s="1"/>
  <c r="S35" i="159" s="1"/>
  <c r="AM281" i="1"/>
  <c r="N171" i="159" s="1"/>
  <c r="S171" i="159" s="1"/>
  <c r="AI91" i="1"/>
  <c r="AI193" i="1"/>
  <c r="AI107" i="1"/>
  <c r="AI40" i="1"/>
  <c r="AI312" i="1"/>
  <c r="AI87" i="1"/>
  <c r="R83" i="159"/>
  <c r="AM209" i="1"/>
  <c r="N404" i="159" s="1"/>
  <c r="S404" i="159" s="1"/>
  <c r="AI368" i="1"/>
  <c r="AI200" i="1"/>
  <c r="AK399" i="1"/>
  <c r="AA399" i="1" s="1"/>
  <c r="AI338" i="1"/>
  <c r="AK191" i="1"/>
  <c r="AA191" i="1" s="1"/>
  <c r="AM224" i="1"/>
  <c r="N87" i="159" s="1"/>
  <c r="AK384" i="1"/>
  <c r="AA384" i="1" s="1"/>
  <c r="AK64" i="1"/>
  <c r="AA64" i="1" s="1"/>
  <c r="AM211" i="1"/>
  <c r="N411" i="159" s="1"/>
  <c r="AK168" i="1"/>
  <c r="AA168" i="1" s="1"/>
  <c r="AK313" i="1"/>
  <c r="AA313" i="1" s="1"/>
  <c r="AM201" i="1"/>
  <c r="N207" i="159" s="1"/>
  <c r="S207" i="159" s="1"/>
  <c r="AM313" i="1"/>
  <c r="N60" i="159" s="1"/>
  <c r="AK108" i="1"/>
  <c r="AA108" i="1" s="1"/>
  <c r="AK201" i="1"/>
  <c r="AA201" i="1" s="1"/>
  <c r="AK180" i="1"/>
  <c r="AA180" i="1" s="1"/>
  <c r="AK299" i="1"/>
  <c r="AA299" i="1" s="1"/>
  <c r="AM64" i="1"/>
  <c r="N139" i="159" s="1"/>
  <c r="S139" i="159" s="1"/>
  <c r="AM191" i="1"/>
  <c r="N39" i="159" s="1"/>
  <c r="AI344" i="1"/>
  <c r="AK219" i="1"/>
  <c r="AA219" i="1" s="1"/>
  <c r="AK376" i="1"/>
  <c r="AA376" i="1" s="1"/>
  <c r="AI117" i="1"/>
  <c r="AK224" i="1"/>
  <c r="AA224" i="1" s="1"/>
  <c r="AM219" i="1"/>
  <c r="N407" i="159" s="1"/>
  <c r="S407" i="159" s="1"/>
  <c r="AK197" i="1"/>
  <c r="AA197" i="1" s="1"/>
  <c r="AM384" i="1"/>
  <c r="N46" i="159" s="1"/>
  <c r="S46" i="159" s="1"/>
  <c r="AK160" i="1"/>
  <c r="AA160" i="1" s="1"/>
  <c r="AI78" i="1"/>
  <c r="AI242" i="1"/>
  <c r="AM176" i="1"/>
  <c r="N399" i="159" s="1"/>
  <c r="AI93" i="1"/>
  <c r="AK93" i="1" s="1"/>
  <c r="AA93" i="1" s="1"/>
  <c r="AI369" i="1"/>
  <c r="AI365" i="1"/>
  <c r="AI94" i="1"/>
  <c r="AM298" i="1"/>
  <c r="N58" i="159" s="1"/>
  <c r="S58" i="159" s="1"/>
  <c r="AI324" i="1"/>
  <c r="AI366" i="1"/>
  <c r="AI367" i="1"/>
  <c r="AI357" i="1"/>
  <c r="AM357" i="1" s="1"/>
  <c r="N348" i="159" s="1"/>
  <c r="AI129" i="1"/>
  <c r="AM210" i="1"/>
  <c r="N395" i="159" s="1"/>
  <c r="S395" i="159" s="1"/>
  <c r="AI308" i="1"/>
  <c r="AM308" i="1" s="1"/>
  <c r="N231" i="159" s="1"/>
  <c r="AI377" i="1"/>
  <c r="AI33" i="1"/>
  <c r="AI163" i="1"/>
  <c r="AI215" i="1"/>
  <c r="AI372" i="1"/>
  <c r="AI90" i="1"/>
  <c r="AK210" i="1"/>
  <c r="AA210" i="1" s="1"/>
  <c r="AI406" i="1"/>
  <c r="AI112" i="1"/>
  <c r="AI253" i="1"/>
  <c r="AI35" i="1"/>
  <c r="AI17" i="1"/>
  <c r="AI385" i="1"/>
  <c r="AI104" i="1"/>
  <c r="AI340" i="1"/>
  <c r="AI183" i="1"/>
  <c r="AI322" i="1"/>
  <c r="AI70" i="1"/>
  <c r="AI241" i="1"/>
  <c r="AI374" i="1"/>
  <c r="AI342" i="1"/>
  <c r="AK342" i="1" s="1"/>
  <c r="AA342" i="1" s="1"/>
  <c r="AI345" i="1"/>
  <c r="AK345" i="1" s="1"/>
  <c r="AA345" i="1" s="1"/>
  <c r="AI111" i="1"/>
  <c r="AK150" i="1"/>
  <c r="AA150" i="1" s="1"/>
  <c r="AI393" i="1"/>
  <c r="AI142" i="1"/>
  <c r="AI20" i="1"/>
  <c r="AI375" i="1"/>
  <c r="AI370" i="1"/>
  <c r="AI278" i="1"/>
  <c r="AI233" i="1"/>
  <c r="AM150" i="1"/>
  <c r="N50" i="159" s="1"/>
  <c r="AI402" i="1"/>
  <c r="AI392" i="1"/>
  <c r="AM392" i="1" s="1"/>
  <c r="N221" i="159" s="1"/>
  <c r="AK172" i="1"/>
  <c r="AA172" i="1" s="1"/>
  <c r="AI350" i="1"/>
  <c r="AI389" i="1"/>
  <c r="AI165" i="1"/>
  <c r="AI383" i="1"/>
  <c r="AI359" i="1"/>
  <c r="AI147" i="1"/>
  <c r="AI14" i="1"/>
  <c r="AK315" i="1"/>
  <c r="AA315" i="1" s="1"/>
  <c r="AI279" i="1"/>
  <c r="AI243" i="1"/>
  <c r="AM243" i="1" s="1"/>
  <c r="N193" i="159" s="1"/>
  <c r="AK361" i="1"/>
  <c r="AA361" i="1" s="1"/>
  <c r="AI116" i="1"/>
  <c r="AI400" i="1"/>
  <c r="AI92" i="1"/>
  <c r="AM92" i="1" s="1"/>
  <c r="N186" i="159" s="1"/>
  <c r="AI146" i="1"/>
  <c r="AI310" i="1"/>
  <c r="AI18" i="1"/>
  <c r="AI346" i="1"/>
  <c r="AM346" i="1" s="1"/>
  <c r="N204" i="159" s="1"/>
  <c r="AI161" i="1"/>
  <c r="AI145" i="1"/>
  <c r="AM212" i="1"/>
  <c r="N402" i="159" s="1"/>
  <c r="R402" i="159" s="1"/>
  <c r="AI115" i="1"/>
  <c r="R379" i="159"/>
  <c r="AI43" i="1"/>
  <c r="AI8" i="1"/>
  <c r="AI352" i="1"/>
  <c r="AK352" i="1" s="1"/>
  <c r="AA352" i="1" s="1"/>
  <c r="AI403" i="1"/>
  <c r="AK403" i="1" s="1"/>
  <c r="AA403" i="1" s="1"/>
  <c r="AI349" i="1"/>
  <c r="AI151" i="1"/>
  <c r="AK212" i="1"/>
  <c r="AA212" i="1" s="1"/>
  <c r="AI309" i="1"/>
  <c r="AI232" i="1"/>
  <c r="AI277" i="1"/>
  <c r="AI134" i="1"/>
  <c r="AM134" i="1" s="1"/>
  <c r="N194" i="159" s="1"/>
  <c r="AI118" i="1"/>
  <c r="AI106" i="1"/>
  <c r="AI390" i="1"/>
  <c r="AI391" i="1"/>
  <c r="AI275" i="1"/>
  <c r="AI283" i="1"/>
  <c r="AI323" i="1"/>
  <c r="AI152" i="1"/>
  <c r="AK152" i="1" s="1"/>
  <c r="AA152" i="1" s="1"/>
  <c r="AI257" i="1"/>
  <c r="AK221" i="1"/>
  <c r="AA221" i="1" s="1"/>
  <c r="AM221" i="1"/>
  <c r="N64" i="159" s="1"/>
  <c r="R64" i="159" s="1"/>
  <c r="AI296" i="1"/>
  <c r="AI54" i="1"/>
  <c r="AI157" i="1"/>
  <c r="AI177" i="1"/>
  <c r="AK177" i="1" s="1"/>
  <c r="AA177" i="1" s="1"/>
  <c r="AI103" i="1"/>
  <c r="AK103" i="1" s="1"/>
  <c r="AA103" i="1" s="1"/>
  <c r="AI318" i="1"/>
  <c r="AK154" i="1"/>
  <c r="AA154" i="1" s="1"/>
  <c r="AK204" i="1"/>
  <c r="AA204" i="1" s="1"/>
  <c r="AI141" i="1"/>
  <c r="AI333" i="1"/>
  <c r="AI137" i="1"/>
  <c r="AI97" i="1"/>
  <c r="AI96" i="1"/>
  <c r="AI317" i="1"/>
  <c r="AM204" i="1"/>
  <c r="N409" i="159" s="1"/>
  <c r="S409" i="159" s="1"/>
  <c r="AI407" i="1"/>
  <c r="AI245" i="1"/>
  <c r="AI100" i="1"/>
  <c r="AI225" i="1"/>
  <c r="AI56" i="1"/>
  <c r="AI316" i="1"/>
  <c r="AM316" i="1" s="1"/>
  <c r="N330" i="159" s="1"/>
  <c r="AI162" i="1"/>
  <c r="AI138" i="1"/>
  <c r="AM138" i="1" s="1"/>
  <c r="N119" i="159" s="1"/>
  <c r="AI235" i="1"/>
  <c r="AI175" i="1"/>
  <c r="AM175" i="1" s="1"/>
  <c r="N95" i="159" s="1"/>
  <c r="AI55" i="1"/>
  <c r="AK186" i="1"/>
  <c r="AA186" i="1" s="1"/>
  <c r="AI301" i="1"/>
  <c r="AM168" i="1"/>
  <c r="N209" i="159" s="1"/>
  <c r="S209" i="159" s="1"/>
  <c r="AI226" i="1"/>
  <c r="AI140" i="1"/>
  <c r="AM140" i="1" s="1"/>
  <c r="N113" i="159" s="1"/>
  <c r="AI101" i="1"/>
  <c r="AI187" i="1"/>
  <c r="AI167" i="1"/>
  <c r="AM167" i="1" s="1"/>
  <c r="N126" i="159" s="1"/>
  <c r="AI381" i="1"/>
  <c r="AK381" i="1" s="1"/>
  <c r="AA381" i="1" s="1"/>
  <c r="AM220" i="1"/>
  <c r="N405" i="159" s="1"/>
  <c r="S405" i="159" s="1"/>
  <c r="AI46" i="1"/>
  <c r="AI307" i="1"/>
  <c r="AI306" i="1"/>
  <c r="AM105" i="1"/>
  <c r="N43" i="159" s="1"/>
  <c r="S43" i="159" s="1"/>
  <c r="AM84" i="1"/>
  <c r="N53" i="159" s="1"/>
  <c r="R53" i="159" s="1"/>
  <c r="AI331" i="1"/>
  <c r="AI79" i="1"/>
  <c r="AI304" i="1"/>
  <c r="AM304" i="1" s="1"/>
  <c r="N74" i="159" s="1"/>
  <c r="AK185" i="1"/>
  <c r="AA185" i="1" s="1"/>
  <c r="AK84" i="1"/>
  <c r="AA84" i="1" s="1"/>
  <c r="AM194" i="1"/>
  <c r="N33" i="159" s="1"/>
  <c r="R33" i="159" s="1"/>
  <c r="AI222" i="1"/>
  <c r="AI173" i="1"/>
  <c r="AM185" i="1"/>
  <c r="N394" i="159" s="1"/>
  <c r="R394" i="159" s="1"/>
  <c r="AI24" i="1"/>
  <c r="AK24" i="1" s="1"/>
  <c r="AI22" i="1"/>
  <c r="AK22" i="1" s="1"/>
  <c r="AA22" i="1" s="1"/>
  <c r="AM360" i="1"/>
  <c r="N42" i="159" s="1"/>
  <c r="S42" i="159" s="1"/>
  <c r="AI314" i="1"/>
  <c r="AI73" i="1"/>
  <c r="AI311" i="1"/>
  <c r="AI66" i="1"/>
  <c r="AK166" i="1"/>
  <c r="AA166" i="1" s="1"/>
  <c r="AI67" i="1"/>
  <c r="AM67" i="1" s="1"/>
  <c r="N150" i="159" s="1"/>
  <c r="AM166" i="1"/>
  <c r="N59" i="159" s="1"/>
  <c r="S59" i="159" s="1"/>
  <c r="AI65" i="1"/>
  <c r="AI398" i="1"/>
  <c r="AI170" i="1"/>
  <c r="AI396" i="1"/>
  <c r="AI320" i="1"/>
  <c r="AI169" i="1"/>
  <c r="AI404" i="1"/>
  <c r="AI379" i="1"/>
  <c r="S5" i="159"/>
  <c r="R5" i="159"/>
  <c r="S54" i="159"/>
  <c r="R54" i="159"/>
  <c r="S65" i="159"/>
  <c r="R65" i="159"/>
  <c r="U68" i="159"/>
  <c r="T68" i="159"/>
  <c r="S87" i="159"/>
  <c r="R87" i="159"/>
  <c r="S34" i="159"/>
  <c r="R34" i="159"/>
  <c r="S392" i="159"/>
  <c r="R392" i="159"/>
  <c r="S215" i="159"/>
  <c r="R215" i="159"/>
  <c r="S52" i="159"/>
  <c r="R52" i="159"/>
  <c r="S90" i="159"/>
  <c r="R90" i="159"/>
  <c r="S63" i="159"/>
  <c r="R63" i="159"/>
  <c r="S241" i="159"/>
  <c r="R241" i="159"/>
  <c r="S91" i="159"/>
  <c r="R91" i="159"/>
  <c r="S156" i="159"/>
  <c r="R156" i="159"/>
  <c r="S401" i="159"/>
  <c r="R401" i="159"/>
  <c r="S55" i="159"/>
  <c r="R55" i="159"/>
  <c r="S44" i="159"/>
  <c r="R44" i="159"/>
  <c r="S393" i="159"/>
  <c r="R393" i="159"/>
  <c r="S165" i="159"/>
  <c r="R165" i="159"/>
  <c r="S388" i="159"/>
  <c r="R388" i="159"/>
  <c r="R159" i="159"/>
  <c r="S159" i="159"/>
  <c r="S403" i="159"/>
  <c r="R403" i="159"/>
  <c r="S60" i="159"/>
  <c r="R60" i="159"/>
  <c r="S386" i="159"/>
  <c r="R386" i="159"/>
  <c r="R408" i="159"/>
  <c r="S408" i="159"/>
  <c r="S40" i="159"/>
  <c r="R40" i="159"/>
  <c r="T345" i="159"/>
  <c r="U345" i="159"/>
  <c r="S212" i="159"/>
  <c r="R212" i="159"/>
  <c r="S250" i="159"/>
  <c r="R250" i="159"/>
  <c r="S62" i="159"/>
  <c r="R62" i="159"/>
  <c r="S406" i="159"/>
  <c r="R406" i="159"/>
  <c r="S399" i="159"/>
  <c r="R399" i="159"/>
  <c r="S243" i="159"/>
  <c r="R243" i="159"/>
  <c r="S36" i="159"/>
  <c r="R36" i="159"/>
  <c r="S45" i="159"/>
  <c r="R45" i="159"/>
  <c r="S390" i="159"/>
  <c r="R390" i="159"/>
  <c r="S252" i="159"/>
  <c r="R252" i="159"/>
  <c r="S50" i="159"/>
  <c r="R50" i="159"/>
  <c r="S214" i="159"/>
  <c r="R214" i="159"/>
  <c r="S251" i="159"/>
  <c r="R251" i="159"/>
  <c r="S249" i="159"/>
  <c r="R249" i="159"/>
  <c r="S389" i="159"/>
  <c r="R389" i="159"/>
  <c r="S154" i="159"/>
  <c r="R154" i="159"/>
  <c r="S244" i="159"/>
  <c r="R244" i="159"/>
  <c r="S163" i="159"/>
  <c r="R163" i="159"/>
  <c r="S411" i="159"/>
  <c r="R411" i="159"/>
  <c r="S37" i="159"/>
  <c r="R37" i="159"/>
  <c r="S170" i="159"/>
  <c r="R170" i="159"/>
  <c r="S397" i="159"/>
  <c r="R397" i="159"/>
  <c r="S155" i="159"/>
  <c r="R155" i="159"/>
  <c r="S24" i="159"/>
  <c r="R24" i="159"/>
  <c r="S88" i="159"/>
  <c r="R88" i="159"/>
  <c r="S51" i="159"/>
  <c r="R51" i="159"/>
  <c r="S247" i="159"/>
  <c r="R247" i="159"/>
  <c r="S160" i="159"/>
  <c r="R160" i="159"/>
  <c r="S206" i="159"/>
  <c r="R206" i="159"/>
  <c r="S248" i="159"/>
  <c r="R248" i="159"/>
  <c r="S61" i="159"/>
  <c r="R61" i="159"/>
  <c r="S138" i="159"/>
  <c r="R138" i="159"/>
  <c r="S57" i="159"/>
  <c r="R57" i="159"/>
  <c r="S208" i="159"/>
  <c r="R208" i="159"/>
  <c r="S48" i="159"/>
  <c r="R48" i="159"/>
  <c r="S167" i="159"/>
  <c r="R167" i="159"/>
  <c r="S387" i="159"/>
  <c r="R387" i="159"/>
  <c r="S25" i="159"/>
  <c r="R25" i="159"/>
  <c r="S242" i="159"/>
  <c r="R242" i="159"/>
  <c r="S38" i="159"/>
  <c r="R38" i="159"/>
  <c r="S213" i="159"/>
  <c r="R213" i="159"/>
  <c r="S211" i="159"/>
  <c r="R211" i="159"/>
  <c r="S56" i="159"/>
  <c r="R56" i="159"/>
  <c r="R207" i="159"/>
  <c r="S158" i="159"/>
  <c r="R158" i="159"/>
  <c r="S39" i="159"/>
  <c r="R39" i="159"/>
  <c r="S245" i="159"/>
  <c r="R245" i="159"/>
  <c r="S239" i="159"/>
  <c r="R239" i="159"/>
  <c r="S169" i="159"/>
  <c r="R169" i="159"/>
  <c r="S396" i="159"/>
  <c r="R396" i="159"/>
  <c r="S89" i="159"/>
  <c r="R89" i="159"/>
  <c r="S398" i="159"/>
  <c r="R398" i="159"/>
  <c r="S41" i="159"/>
  <c r="R41" i="159"/>
  <c r="S157" i="159"/>
  <c r="R157" i="159"/>
  <c r="S400" i="159"/>
  <c r="R400" i="159"/>
  <c r="R77" i="159"/>
  <c r="S77" i="159"/>
  <c r="S246" i="159"/>
  <c r="R246" i="159"/>
  <c r="S210" i="159"/>
  <c r="R210" i="159"/>
  <c r="S49" i="159"/>
  <c r="R49" i="159"/>
  <c r="S410" i="159"/>
  <c r="R410" i="159"/>
  <c r="O205" i="159"/>
  <c r="P345" i="159"/>
  <c r="AN378" i="1" s="1"/>
  <c r="P68" i="159"/>
  <c r="AN131" i="1" s="1"/>
  <c r="AM305" i="1"/>
  <c r="N71" i="159" s="1"/>
  <c r="AK305" i="1"/>
  <c r="AA305" i="1" s="1"/>
  <c r="AM319" i="1"/>
  <c r="N338" i="159" s="1"/>
  <c r="AK319" i="1"/>
  <c r="AA319" i="1" s="1"/>
  <c r="AM286" i="1"/>
  <c r="N257" i="159" s="1"/>
  <c r="AK286" i="1"/>
  <c r="AA286" i="1" s="1"/>
  <c r="AK348" i="1"/>
  <c r="AA348" i="1" s="1"/>
  <c r="AM348" i="1"/>
  <c r="N294" i="159" s="1"/>
  <c r="AK227" i="1"/>
  <c r="AA227" i="1" s="1"/>
  <c r="AM227" i="1"/>
  <c r="N306" i="159" s="1"/>
  <c r="AM71" i="1"/>
  <c r="N271" i="159" s="1"/>
  <c r="AK71" i="1"/>
  <c r="AA71" i="1" s="1"/>
  <c r="AM205" i="1"/>
  <c r="N185" i="159" s="1"/>
  <c r="AK205" i="1"/>
  <c r="AA205" i="1" s="1"/>
  <c r="AK200" i="1"/>
  <c r="AA200" i="1" s="1"/>
  <c r="AM200" i="1"/>
  <c r="N374" i="159" s="1"/>
  <c r="AM107" i="1"/>
  <c r="N356" i="159" s="1"/>
  <c r="AK107" i="1"/>
  <c r="AA107" i="1" s="1"/>
  <c r="AK140" i="1"/>
  <c r="AA140" i="1" s="1"/>
  <c r="AM187" i="1"/>
  <c r="N127" i="159" s="1"/>
  <c r="AM169" i="1"/>
  <c r="N141" i="159" s="1"/>
  <c r="AM402" i="1"/>
  <c r="N219" i="159" s="1"/>
  <c r="AK402" i="1"/>
  <c r="AA402" i="1" s="1"/>
  <c r="AK296" i="1"/>
  <c r="AA296" i="1" s="1"/>
  <c r="AM296" i="1"/>
  <c r="N335" i="159" s="1"/>
  <c r="AM381" i="1"/>
  <c r="AM386" i="1"/>
  <c r="N308" i="159" s="1"/>
  <c r="AK386" i="1"/>
  <c r="AA386" i="1" s="1"/>
  <c r="AM300" i="1"/>
  <c r="N263" i="159" s="1"/>
  <c r="AK300" i="1"/>
  <c r="AA300" i="1" s="1"/>
  <c r="AM109" i="1"/>
  <c r="N286" i="159" s="1"/>
  <c r="AK109" i="1"/>
  <c r="AA109" i="1" s="1"/>
  <c r="AK63" i="1"/>
  <c r="AA63" i="1" s="1"/>
  <c r="AM63" i="1"/>
  <c r="N291" i="159" s="1"/>
  <c r="AM375" i="1"/>
  <c r="N191" i="159" s="1"/>
  <c r="AK375" i="1"/>
  <c r="AA375" i="1" s="1"/>
  <c r="AM356" i="1"/>
  <c r="N196" i="159" s="1"/>
  <c r="AK356" i="1"/>
  <c r="AA356" i="1" s="1"/>
  <c r="AM365" i="1"/>
  <c r="N353" i="159" s="1"/>
  <c r="AK365" i="1"/>
  <c r="AA365" i="1" s="1"/>
  <c r="AM94" i="1"/>
  <c r="N361" i="159" s="1"/>
  <c r="AM248" i="1"/>
  <c r="N105" i="159" s="1"/>
  <c r="AK248" i="1"/>
  <c r="AA248" i="1" s="1"/>
  <c r="AK188" i="1"/>
  <c r="AA188" i="1" s="1"/>
  <c r="AM188" i="1"/>
  <c r="N118" i="159" s="1"/>
  <c r="AK136" i="1"/>
  <c r="AA136" i="1" s="1"/>
  <c r="AM136" i="1"/>
  <c r="N132" i="159" s="1"/>
  <c r="AM159" i="1"/>
  <c r="N101" i="159" s="1"/>
  <c r="AK159" i="1"/>
  <c r="AA159" i="1" s="1"/>
  <c r="AM69" i="1"/>
  <c r="N146" i="159" s="1"/>
  <c r="AK69" i="1"/>
  <c r="AA69" i="1" s="1"/>
  <c r="AM344" i="1"/>
  <c r="N10" i="159" s="1"/>
  <c r="AM112" i="1"/>
  <c r="N235" i="159" s="1"/>
  <c r="AK112" i="1"/>
  <c r="AA112" i="1" s="1"/>
  <c r="AM271" i="1"/>
  <c r="N22" i="159" s="1"/>
  <c r="AK271" i="1"/>
  <c r="AA271" i="1" s="1"/>
  <c r="AK377" i="1"/>
  <c r="AA377" i="1" s="1"/>
  <c r="AM377" i="1"/>
  <c r="N320" i="159" s="1"/>
  <c r="AK280" i="1"/>
  <c r="AA280" i="1" s="1"/>
  <c r="AM280" i="1"/>
  <c r="N278" i="159" s="1"/>
  <c r="AM335" i="1"/>
  <c r="N287" i="159" s="1"/>
  <c r="AK335" i="1"/>
  <c r="AA335" i="1" s="1"/>
  <c r="AM77" i="1"/>
  <c r="N310" i="159" s="1"/>
  <c r="AK77" i="1"/>
  <c r="AA77" i="1" s="1"/>
  <c r="AM292" i="1"/>
  <c r="N301" i="159" s="1"/>
  <c r="AK292" i="1"/>
  <c r="AA292" i="1" s="1"/>
  <c r="AK353" i="1"/>
  <c r="AA353" i="1" s="1"/>
  <c r="AM353" i="1"/>
  <c r="N277" i="159" s="1"/>
  <c r="AK366" i="1"/>
  <c r="AA366" i="1" s="1"/>
  <c r="AM366" i="1"/>
  <c r="N347" i="159" s="1"/>
  <c r="AM129" i="1"/>
  <c r="N375" i="159" s="1"/>
  <c r="AK129" i="1"/>
  <c r="AA129" i="1" s="1"/>
  <c r="AK216" i="1"/>
  <c r="AA216" i="1" s="1"/>
  <c r="AM216" i="1"/>
  <c r="N108" i="159" s="1"/>
  <c r="AM139" i="1"/>
  <c r="N121" i="159" s="1"/>
  <c r="AK139" i="1"/>
  <c r="AA139" i="1" s="1"/>
  <c r="AK179" i="1"/>
  <c r="AA179" i="1" s="1"/>
  <c r="AM179" i="1"/>
  <c r="N125" i="159" s="1"/>
  <c r="AM99" i="1"/>
  <c r="N117" i="159" s="1"/>
  <c r="AK99" i="1"/>
  <c r="AA99" i="1" s="1"/>
  <c r="AM135" i="1"/>
  <c r="N103" i="159" s="1"/>
  <c r="AK135" i="1"/>
  <c r="AA135" i="1" s="1"/>
  <c r="AK312" i="1"/>
  <c r="AA312" i="1" s="1"/>
  <c r="AM312" i="1"/>
  <c r="N144" i="159" s="1"/>
  <c r="AM117" i="1"/>
  <c r="N9" i="159" s="1"/>
  <c r="AK117" i="1"/>
  <c r="AA117" i="1" s="1"/>
  <c r="AK275" i="1"/>
  <c r="AA275" i="1" s="1"/>
  <c r="AM275" i="1"/>
  <c r="N217" i="159" s="1"/>
  <c r="AM244" i="1"/>
  <c r="N172" i="159" s="1"/>
  <c r="AK244" i="1"/>
  <c r="AA244" i="1" s="1"/>
  <c r="AM116" i="1"/>
  <c r="N18" i="159" s="1"/>
  <c r="AK116" i="1"/>
  <c r="AA116" i="1" s="1"/>
  <c r="AK234" i="1"/>
  <c r="AA234" i="1" s="1"/>
  <c r="AM234" i="1"/>
  <c r="N327" i="159" s="1"/>
  <c r="AM317" i="1"/>
  <c r="N332" i="159" s="1"/>
  <c r="AK317" i="1"/>
  <c r="AA317" i="1" s="1"/>
  <c r="AK153" i="1"/>
  <c r="AA153" i="1" s="1"/>
  <c r="AM153" i="1"/>
  <c r="N258" i="159" s="1"/>
  <c r="AM287" i="1"/>
  <c r="N285" i="159" s="1"/>
  <c r="AK287" i="1"/>
  <c r="AA287" i="1" s="1"/>
  <c r="AM405" i="1"/>
  <c r="N272" i="159" s="1"/>
  <c r="AK405" i="1"/>
  <c r="AA405" i="1" s="1"/>
  <c r="AM279" i="1"/>
  <c r="N190" i="159" s="1"/>
  <c r="AK279" i="1"/>
  <c r="AA279" i="1" s="1"/>
  <c r="AK243" i="1"/>
  <c r="AA243" i="1" s="1"/>
  <c r="AM215" i="1"/>
  <c r="N373" i="159" s="1"/>
  <c r="AK215" i="1"/>
  <c r="AA215" i="1" s="1"/>
  <c r="AM54" i="1"/>
  <c r="N110" i="159" s="1"/>
  <c r="AK54" i="1"/>
  <c r="AA54" i="1" s="1"/>
  <c r="AM157" i="1"/>
  <c r="N134" i="159" s="1"/>
  <c r="AK157" i="1"/>
  <c r="AA157" i="1" s="1"/>
  <c r="AM103" i="1"/>
  <c r="N106" i="159" s="1"/>
  <c r="AM231" i="1"/>
  <c r="N11" i="159" s="1"/>
  <c r="AK231" i="1"/>
  <c r="AA231" i="1" s="1"/>
  <c r="AM350" i="1"/>
  <c r="N218" i="159" s="1"/>
  <c r="AK350" i="1"/>
  <c r="AA350" i="1" s="1"/>
  <c r="AM383" i="1"/>
  <c r="N225" i="159" s="1"/>
  <c r="AK383" i="1"/>
  <c r="AA383" i="1" s="1"/>
  <c r="AK195" i="1"/>
  <c r="AA195" i="1" s="1"/>
  <c r="AM195" i="1"/>
  <c r="N177" i="159" s="1"/>
  <c r="AM411" i="1"/>
  <c r="N266" i="159" s="1"/>
  <c r="AK411" i="1"/>
  <c r="AA411" i="1" s="1"/>
  <c r="AM341" i="1"/>
  <c r="N302" i="159" s="1"/>
  <c r="AK341" i="1"/>
  <c r="AA341" i="1" s="1"/>
  <c r="AM260" i="1"/>
  <c r="N269" i="159" s="1"/>
  <c r="AK260" i="1"/>
  <c r="AA260" i="1" s="1"/>
  <c r="AM113" i="1"/>
  <c r="N264" i="159" s="1"/>
  <c r="AK113" i="1"/>
  <c r="AA113" i="1" s="1"/>
  <c r="AM146" i="1"/>
  <c r="N197" i="159" s="1"/>
  <c r="AK340" i="1"/>
  <c r="AA340" i="1" s="1"/>
  <c r="AM340" i="1"/>
  <c r="N362" i="159" s="1"/>
  <c r="AM183" i="1"/>
  <c r="N354" i="159" s="1"/>
  <c r="AK183" i="1"/>
  <c r="AA183" i="1" s="1"/>
  <c r="AM141" i="1"/>
  <c r="N135" i="159" s="1"/>
  <c r="AK141" i="1"/>
  <c r="AA141" i="1" s="1"/>
  <c r="AK137" i="1"/>
  <c r="AA137" i="1" s="1"/>
  <c r="AM137" i="1"/>
  <c r="AK323" i="1"/>
  <c r="AA323" i="1" s="1"/>
  <c r="AM323" i="1"/>
  <c r="N236" i="159" s="1"/>
  <c r="AM144" i="1"/>
  <c r="N227" i="159" s="1"/>
  <c r="AK144" i="1"/>
  <c r="AA144" i="1" s="1"/>
  <c r="AK73" i="1"/>
  <c r="AA73" i="1" s="1"/>
  <c r="AM73" i="1"/>
  <c r="N178" i="159" s="1"/>
  <c r="AK283" i="1"/>
  <c r="AA283" i="1" s="1"/>
  <c r="AM283" i="1"/>
  <c r="N326" i="159" s="1"/>
  <c r="AM410" i="1"/>
  <c r="N260" i="159" s="1"/>
  <c r="AK410" i="1"/>
  <c r="AA410" i="1" s="1"/>
  <c r="AM229" i="1"/>
  <c r="N297" i="159" s="1"/>
  <c r="AK229" i="1"/>
  <c r="AA229" i="1" s="1"/>
  <c r="AM196" i="1"/>
  <c r="N270" i="159" s="1"/>
  <c r="AK196" i="1"/>
  <c r="AA196" i="1" s="1"/>
  <c r="AM58" i="1"/>
  <c r="N296" i="159" s="1"/>
  <c r="AK58" i="1"/>
  <c r="AA58" i="1" s="1"/>
  <c r="AK145" i="1"/>
  <c r="AA145" i="1" s="1"/>
  <c r="AK374" i="1"/>
  <c r="AA374" i="1" s="1"/>
  <c r="AM374" i="1"/>
  <c r="N377" i="159" s="1"/>
  <c r="AM111" i="1"/>
  <c r="N368" i="159" s="1"/>
  <c r="AK111" i="1"/>
  <c r="AA111" i="1" s="1"/>
  <c r="AM407" i="1"/>
  <c r="N120" i="159" s="1"/>
  <c r="AK407" i="1"/>
  <c r="AA407" i="1" s="1"/>
  <c r="AK406" i="1"/>
  <c r="AA406" i="1" s="1"/>
  <c r="AM406" i="1"/>
  <c r="N234" i="159" s="1"/>
  <c r="AM78" i="1"/>
  <c r="N229" i="159" s="1"/>
  <c r="AK78" i="1"/>
  <c r="AA78" i="1" s="1"/>
  <c r="AM309" i="1"/>
  <c r="N15" i="159" s="1"/>
  <c r="AK309" i="1"/>
  <c r="AA309" i="1" s="1"/>
  <c r="AM165" i="1"/>
  <c r="N323" i="159" s="1"/>
  <c r="AK165" i="1"/>
  <c r="AA165" i="1" s="1"/>
  <c r="AM297" i="1"/>
  <c r="N334" i="159" s="1"/>
  <c r="AK297" i="1"/>
  <c r="AA297" i="1" s="1"/>
  <c r="AM288" i="1"/>
  <c r="N265" i="159" s="1"/>
  <c r="AK288" i="1"/>
  <c r="AA288" i="1" s="1"/>
  <c r="AK114" i="1"/>
  <c r="AA114" i="1" s="1"/>
  <c r="AM114" i="1"/>
  <c r="N295" i="159" s="1"/>
  <c r="AM61" i="1"/>
  <c r="N267" i="159" s="1"/>
  <c r="AK61" i="1"/>
  <c r="AA61" i="1" s="1"/>
  <c r="AM72" i="1"/>
  <c r="N298" i="159" s="1"/>
  <c r="AK72" i="1"/>
  <c r="AA72" i="1" s="1"/>
  <c r="AM278" i="1"/>
  <c r="N369" i="159" s="1"/>
  <c r="AK233" i="1"/>
  <c r="AA233" i="1" s="1"/>
  <c r="AM233" i="1"/>
  <c r="N363" i="159" s="1"/>
  <c r="AK110" i="1"/>
  <c r="AA110" i="1" s="1"/>
  <c r="AM110" i="1"/>
  <c r="N352" i="159" s="1"/>
  <c r="AM247" i="1"/>
  <c r="N112" i="159" s="1"/>
  <c r="AK247" i="1"/>
  <c r="AA247" i="1" s="1"/>
  <c r="AM189" i="1"/>
  <c r="N98" i="159" s="1"/>
  <c r="AK189" i="1"/>
  <c r="AA189" i="1" s="1"/>
  <c r="AM251" i="1"/>
  <c r="N114" i="159" s="1"/>
  <c r="AK251" i="1"/>
  <c r="AA251" i="1" s="1"/>
  <c r="AM98" i="1"/>
  <c r="N130" i="159" s="1"/>
  <c r="AK98" i="1"/>
  <c r="AA98" i="1" s="1"/>
  <c r="AK95" i="1"/>
  <c r="AA95" i="1" s="1"/>
  <c r="AM95" i="1"/>
  <c r="N115" i="159" s="1"/>
  <c r="AK322" i="1"/>
  <c r="AA322" i="1" s="1"/>
  <c r="AM322" i="1"/>
  <c r="N216" i="159" s="1"/>
  <c r="AK222" i="1"/>
  <c r="AA222" i="1" s="1"/>
  <c r="AM222" i="1"/>
  <c r="N75" i="159" s="1"/>
  <c r="AM282" i="1"/>
  <c r="N275" i="159" s="1"/>
  <c r="AK282" i="1"/>
  <c r="AA282" i="1" s="1"/>
  <c r="AM336" i="1"/>
  <c r="N276" i="159" s="1"/>
  <c r="AK336" i="1"/>
  <c r="AA336" i="1" s="1"/>
  <c r="AK259" i="1"/>
  <c r="AA259" i="1" s="1"/>
  <c r="AM259" i="1"/>
  <c r="N312" i="159" s="1"/>
  <c r="AM102" i="1"/>
  <c r="N290" i="159" s="1"/>
  <c r="AK102" i="1"/>
  <c r="AA102" i="1" s="1"/>
  <c r="AK232" i="1"/>
  <c r="AA232" i="1" s="1"/>
  <c r="AM232" i="1"/>
  <c r="N188" i="159" s="1"/>
  <c r="AM277" i="1"/>
  <c r="N199" i="159" s="1"/>
  <c r="AK277" i="1"/>
  <c r="AA277" i="1" s="1"/>
  <c r="AK338" i="1"/>
  <c r="AA338" i="1" s="1"/>
  <c r="AM338" i="1"/>
  <c r="N358" i="159" s="1"/>
  <c r="AM149" i="1"/>
  <c r="N370" i="159" s="1"/>
  <c r="AK149" i="1"/>
  <c r="AA149" i="1" s="1"/>
  <c r="AM193" i="1"/>
  <c r="N372" i="159" s="1"/>
  <c r="AK193" i="1"/>
  <c r="AA193" i="1" s="1"/>
  <c r="AM162" i="1"/>
  <c r="N107" i="159" s="1"/>
  <c r="AK162" i="1"/>
  <c r="AA162" i="1" s="1"/>
  <c r="AM235" i="1"/>
  <c r="N99" i="159" s="1"/>
  <c r="AK235" i="1"/>
  <c r="AA235" i="1" s="1"/>
  <c r="AM170" i="1"/>
  <c r="N149" i="159" s="1"/>
  <c r="AK170" i="1"/>
  <c r="AA170" i="1" s="1"/>
  <c r="AM393" i="1"/>
  <c r="N224" i="159" s="1"/>
  <c r="AK393" i="1"/>
  <c r="AA393" i="1" s="1"/>
  <c r="AM324" i="1"/>
  <c r="N228" i="159" s="1"/>
  <c r="AK324" i="1"/>
  <c r="AA324" i="1" s="1"/>
  <c r="AK242" i="1"/>
  <c r="AA242" i="1" s="1"/>
  <c r="AM242" i="1"/>
  <c r="N16" i="159" s="1"/>
  <c r="AM79" i="1"/>
  <c r="N21" i="159" s="1"/>
  <c r="AK79" i="1"/>
  <c r="AA79" i="1" s="1"/>
  <c r="AL351" i="1"/>
  <c r="O307" i="159" s="1"/>
  <c r="AJ351" i="1"/>
  <c r="Z351" i="1" s="1"/>
  <c r="AL358" i="1"/>
  <c r="O259" i="159" s="1"/>
  <c r="AJ358" i="1"/>
  <c r="Z358" i="1" s="1"/>
  <c r="AL109" i="1"/>
  <c r="O286" i="159" s="1"/>
  <c r="AJ109" i="1"/>
  <c r="Z109" i="1" s="1"/>
  <c r="AJ61" i="1"/>
  <c r="Z61" i="1" s="1"/>
  <c r="AL61" i="1"/>
  <c r="O267" i="159" s="1"/>
  <c r="AL153" i="1"/>
  <c r="O258" i="159" s="1"/>
  <c r="AJ153" i="1"/>
  <c r="Z153" i="1" s="1"/>
  <c r="AL169" i="1"/>
  <c r="O141" i="159" s="1"/>
  <c r="AJ169" i="1"/>
  <c r="Z169" i="1" s="1"/>
  <c r="AL238" i="1"/>
  <c r="O56" i="159" s="1"/>
  <c r="AJ238" i="1"/>
  <c r="Z238" i="1" s="1"/>
  <c r="AL156" i="1"/>
  <c r="O52" i="159" s="1"/>
  <c r="AJ156" i="1"/>
  <c r="Z156" i="1" s="1"/>
  <c r="AL290" i="1"/>
  <c r="O40" i="159" s="1"/>
  <c r="AJ290" i="1"/>
  <c r="Z290" i="1" s="1"/>
  <c r="AJ360" i="1"/>
  <c r="Z360" i="1" s="1"/>
  <c r="AL360" i="1"/>
  <c r="O42" i="159" s="1"/>
  <c r="AL75" i="1"/>
  <c r="O165" i="159" s="1"/>
  <c r="AJ75" i="1"/>
  <c r="Z75" i="1" s="1"/>
  <c r="AL390" i="1"/>
  <c r="O222" i="159" s="1"/>
  <c r="AJ390" i="1"/>
  <c r="Z390" i="1" s="1"/>
  <c r="AL322" i="1"/>
  <c r="O216" i="159" s="1"/>
  <c r="AJ322" i="1"/>
  <c r="Z322" i="1" s="1"/>
  <c r="AL81" i="1"/>
  <c r="O256" i="159" s="1"/>
  <c r="AJ81" i="1"/>
  <c r="Z81" i="1" s="1"/>
  <c r="AJ246" i="1"/>
  <c r="Z246" i="1" s="1"/>
  <c r="AL246" i="1"/>
  <c r="O250" i="159" s="1"/>
  <c r="AL123" i="1"/>
  <c r="O27" i="159" s="1"/>
  <c r="AJ123" i="1"/>
  <c r="Z123" i="1" s="1"/>
  <c r="AL59" i="1"/>
  <c r="O24" i="159" s="1"/>
  <c r="AJ59" i="1"/>
  <c r="Z59" i="1" s="1"/>
  <c r="AL222" i="1"/>
  <c r="O75" i="159" s="1"/>
  <c r="AJ222" i="1"/>
  <c r="Z222" i="1" s="1"/>
  <c r="AL401" i="1"/>
  <c r="O158" i="159" s="1"/>
  <c r="AJ401" i="1"/>
  <c r="Z401" i="1" s="1"/>
  <c r="AL245" i="1"/>
  <c r="O116" i="159" s="1"/>
  <c r="AJ245" i="1"/>
  <c r="Z245" i="1" s="1"/>
  <c r="AL190" i="1"/>
  <c r="O93" i="159" s="1"/>
  <c r="AJ190" i="1"/>
  <c r="Z190" i="1" s="1"/>
  <c r="AL101" i="1"/>
  <c r="O102" i="159" s="1"/>
  <c r="AJ101" i="1"/>
  <c r="Z101" i="1" s="1"/>
  <c r="AL99" i="1"/>
  <c r="O117" i="159" s="1"/>
  <c r="AJ99" i="1"/>
  <c r="Z99" i="1" s="1"/>
  <c r="AL97" i="1"/>
  <c r="O97" i="159" s="1"/>
  <c r="AJ97" i="1"/>
  <c r="Z97" i="1" s="1"/>
  <c r="AL143" i="1"/>
  <c r="O156" i="159" s="1"/>
  <c r="AJ143" i="1"/>
  <c r="Z143" i="1" s="1"/>
  <c r="AJ79" i="1"/>
  <c r="Z79" i="1" s="1"/>
  <c r="AL79" i="1"/>
  <c r="O21" i="159" s="1"/>
  <c r="AL375" i="1"/>
  <c r="O191" i="159" s="1"/>
  <c r="AJ375" i="1"/>
  <c r="Z375" i="1" s="1"/>
  <c r="AJ134" i="1"/>
  <c r="Z134" i="1" s="1"/>
  <c r="AL134" i="1"/>
  <c r="O194" i="159" s="1"/>
  <c r="AJ145" i="1"/>
  <c r="Z145" i="1" s="1"/>
  <c r="AL145" i="1"/>
  <c r="O184" i="159" s="1"/>
  <c r="AL220" i="1"/>
  <c r="O405" i="159" s="1"/>
  <c r="AJ220" i="1"/>
  <c r="Z220" i="1" s="1"/>
  <c r="AL178" i="1"/>
  <c r="O398" i="159" s="1"/>
  <c r="AJ178" i="1"/>
  <c r="Z178" i="1" s="1"/>
  <c r="Z273" i="1"/>
  <c r="M59" i="71"/>
  <c r="O59" i="71" s="1"/>
  <c r="P59" i="71" s="1"/>
  <c r="AL396" i="1"/>
  <c r="O173" i="159" s="1"/>
  <c r="AJ396" i="1"/>
  <c r="Z396" i="1" s="1"/>
  <c r="AH37" i="1"/>
  <c r="AH387" i="1"/>
  <c r="AJ341" i="1"/>
  <c r="Z341" i="1" s="1"/>
  <c r="AL341" i="1"/>
  <c r="O302" i="159" s="1"/>
  <c r="AJ77" i="1"/>
  <c r="Z77" i="1" s="1"/>
  <c r="AL77" i="1"/>
  <c r="O310" i="159" s="1"/>
  <c r="AL67" i="1"/>
  <c r="O150" i="159" s="1"/>
  <c r="AJ67" i="1"/>
  <c r="Z67" i="1" s="1"/>
  <c r="AL299" i="1"/>
  <c r="O34" i="159" s="1"/>
  <c r="AJ299" i="1"/>
  <c r="Z299" i="1" s="1"/>
  <c r="AL298" i="1"/>
  <c r="O58" i="159" s="1"/>
  <c r="AJ298" i="1"/>
  <c r="Z298" i="1" s="1"/>
  <c r="AL250" i="1"/>
  <c r="O167" i="159" s="1"/>
  <c r="AJ250" i="1"/>
  <c r="Z250" i="1" s="1"/>
  <c r="AL402" i="1"/>
  <c r="O219" i="159" s="1"/>
  <c r="AJ402" i="1"/>
  <c r="Z402" i="1" s="1"/>
  <c r="AL326" i="1"/>
  <c r="O244" i="159" s="1"/>
  <c r="AJ326" i="1"/>
  <c r="Z326" i="1" s="1"/>
  <c r="AL60" i="1"/>
  <c r="O25" i="159" s="1"/>
  <c r="AJ60" i="1"/>
  <c r="Z60" i="1" s="1"/>
  <c r="AL330" i="1"/>
  <c r="O159" i="159" s="1"/>
  <c r="AJ330" i="1"/>
  <c r="Z330" i="1" s="1"/>
  <c r="AJ235" i="1"/>
  <c r="Z235" i="1" s="1"/>
  <c r="AL235" i="1"/>
  <c r="O99" i="159" s="1"/>
  <c r="AL138" i="1"/>
  <c r="O119" i="159" s="1"/>
  <c r="AJ138" i="1"/>
  <c r="Z138" i="1" s="1"/>
  <c r="AL136" i="1"/>
  <c r="O132" i="159" s="1"/>
  <c r="AJ136" i="1"/>
  <c r="Z136" i="1" s="1"/>
  <c r="AL265" i="1"/>
  <c r="O316" i="159" s="1"/>
  <c r="AJ265" i="1"/>
  <c r="Z265" i="1" s="1"/>
  <c r="AJ118" i="1"/>
  <c r="Z118" i="1" s="1"/>
  <c r="AL118" i="1"/>
  <c r="O13" i="159" s="1"/>
  <c r="AL277" i="1"/>
  <c r="O199" i="159" s="1"/>
  <c r="AJ277" i="1"/>
  <c r="Z277" i="1" s="1"/>
  <c r="AJ161" i="1"/>
  <c r="Z161" i="1" s="1"/>
  <c r="AL161" i="1"/>
  <c r="O183" i="159" s="1"/>
  <c r="AL332" i="1"/>
  <c r="O401" i="159" s="1"/>
  <c r="AJ332" i="1"/>
  <c r="Z332" i="1" s="1"/>
  <c r="AL186" i="1"/>
  <c r="O410" i="159" s="1"/>
  <c r="AJ186" i="1"/>
  <c r="Z186" i="1" s="1"/>
  <c r="AL160" i="1"/>
  <c r="O389" i="159" s="1"/>
  <c r="AJ160" i="1"/>
  <c r="Z160" i="1" s="1"/>
  <c r="AL207" i="1"/>
  <c r="O379" i="159" s="1"/>
  <c r="AJ207" i="1"/>
  <c r="Z207" i="1" s="1"/>
  <c r="AL268" i="1"/>
  <c r="O140" i="159" s="1"/>
  <c r="AJ268" i="1"/>
  <c r="Z268" i="1" s="1"/>
  <c r="AJ74" i="1"/>
  <c r="Z74" i="1" s="1"/>
  <c r="AL74" i="1"/>
  <c r="O161" i="159" s="1"/>
  <c r="AH22" i="1"/>
  <c r="AJ22" i="1" s="1"/>
  <c r="Z22" i="1" s="1"/>
  <c r="AH104" i="1"/>
  <c r="AH200" i="1"/>
  <c r="AH368" i="1"/>
  <c r="AH90" i="1"/>
  <c r="AH129" i="1"/>
  <c r="AH193" i="1"/>
  <c r="AH233" i="1"/>
  <c r="AH345" i="1"/>
  <c r="AH369" i="1"/>
  <c r="AH385" i="1"/>
  <c r="AH91" i="1"/>
  <c r="AH338" i="1"/>
  <c r="AH370" i="1"/>
  <c r="AH107" i="1"/>
  <c r="AH163" i="1"/>
  <c r="AH93" i="1"/>
  <c r="AH340" i="1"/>
  <c r="AH372" i="1"/>
  <c r="AH94" i="1"/>
  <c r="AH110" i="1"/>
  <c r="AH278" i="1"/>
  <c r="AH342" i="1"/>
  <c r="AH366" i="1"/>
  <c r="AH374" i="1"/>
  <c r="AH149" i="1"/>
  <c r="AH183" i="1"/>
  <c r="AH215" i="1"/>
  <c r="AH365" i="1"/>
  <c r="AH367" i="1"/>
  <c r="AH111" i="1"/>
  <c r="AH357" i="1"/>
  <c r="AH258" i="1"/>
  <c r="AL287" i="1"/>
  <c r="O285" i="159" s="1"/>
  <c r="AJ287" i="1"/>
  <c r="Z287" i="1" s="1"/>
  <c r="AL334" i="1"/>
  <c r="O268" i="159" s="1"/>
  <c r="AJ334" i="1"/>
  <c r="Z334" i="1" s="1"/>
  <c r="AL348" i="1"/>
  <c r="O294" i="159" s="1"/>
  <c r="AJ348" i="1"/>
  <c r="Z348" i="1" s="1"/>
  <c r="AL410" i="1"/>
  <c r="O260" i="159" s="1"/>
  <c r="AJ410" i="1"/>
  <c r="Z410" i="1" s="1"/>
  <c r="AJ113" i="1"/>
  <c r="Z113" i="1" s="1"/>
  <c r="AL113" i="1"/>
  <c r="O264" i="159" s="1"/>
  <c r="AL379" i="1"/>
  <c r="O148" i="159" s="1"/>
  <c r="AJ379" i="1"/>
  <c r="Z379" i="1" s="1"/>
  <c r="AJ312" i="1"/>
  <c r="Z312" i="1" s="1"/>
  <c r="AL312" i="1"/>
  <c r="O144" i="159" s="1"/>
  <c r="AJ166" i="1"/>
  <c r="Z166" i="1" s="1"/>
  <c r="AL166" i="1"/>
  <c r="O59" i="159" s="1"/>
  <c r="AL148" i="1"/>
  <c r="O44" i="159" s="1"/>
  <c r="AJ148" i="1"/>
  <c r="Z148" i="1" s="1"/>
  <c r="AL194" i="1"/>
  <c r="O33" i="159" s="1"/>
  <c r="AJ194" i="1"/>
  <c r="Z194" i="1" s="1"/>
  <c r="AL192" i="1"/>
  <c r="O47" i="159" s="1"/>
  <c r="AJ192" i="1"/>
  <c r="Z192" i="1" s="1"/>
  <c r="AL281" i="1"/>
  <c r="O171" i="159" s="1"/>
  <c r="AJ281" i="1"/>
  <c r="Z281" i="1" s="1"/>
  <c r="AL350" i="1"/>
  <c r="O218" i="159" s="1"/>
  <c r="AJ350" i="1"/>
  <c r="Z350" i="1" s="1"/>
  <c r="AL393" i="1"/>
  <c r="O224" i="159" s="1"/>
  <c r="AJ393" i="1"/>
  <c r="Z393" i="1" s="1"/>
  <c r="AL395" i="1"/>
  <c r="O246" i="159" s="1"/>
  <c r="AJ395" i="1"/>
  <c r="Z395" i="1" s="1"/>
  <c r="AL68" i="1"/>
  <c r="O252" i="159" s="1"/>
  <c r="AJ68" i="1"/>
  <c r="Z68" i="1" s="1"/>
  <c r="AJ315" i="1"/>
  <c r="Z315" i="1" s="1"/>
  <c r="AL315" i="1"/>
  <c r="O88" i="159" s="1"/>
  <c r="AL291" i="1"/>
  <c r="O138" i="159" s="1"/>
  <c r="AJ291" i="1"/>
  <c r="Z291" i="1" s="1"/>
  <c r="AL306" i="1"/>
  <c r="O76" i="159" s="1"/>
  <c r="AJ306" i="1"/>
  <c r="Z306" i="1" s="1"/>
  <c r="AL251" i="1"/>
  <c r="O114" i="159" s="1"/>
  <c r="AJ251" i="1"/>
  <c r="Z251" i="1" s="1"/>
  <c r="AL56" i="1"/>
  <c r="O94" i="159" s="1"/>
  <c r="AJ56" i="1"/>
  <c r="Z56" i="1" s="1"/>
  <c r="AL95" i="1"/>
  <c r="O115" i="159" s="1"/>
  <c r="AJ95" i="1"/>
  <c r="Z95" i="1" s="1"/>
  <c r="AJ187" i="1"/>
  <c r="Z187" i="1" s="1"/>
  <c r="AL187" i="1"/>
  <c r="O127" i="159" s="1"/>
  <c r="AJ225" i="1"/>
  <c r="Z225" i="1" s="1"/>
  <c r="AL225" i="1"/>
  <c r="O111" i="159" s="1"/>
  <c r="AL231" i="1"/>
  <c r="O11" i="159" s="1"/>
  <c r="AJ231" i="1"/>
  <c r="Z231" i="1" s="1"/>
  <c r="AL399" i="1"/>
  <c r="O154" i="159" s="1"/>
  <c r="AJ399" i="1"/>
  <c r="Z399" i="1" s="1"/>
  <c r="AL116" i="1"/>
  <c r="O18" i="159" s="1"/>
  <c r="AJ116" i="1"/>
  <c r="Z116" i="1" s="1"/>
  <c r="AL349" i="1"/>
  <c r="O192" i="159" s="1"/>
  <c r="AJ349" i="1"/>
  <c r="Z349" i="1" s="1"/>
  <c r="AL356" i="1"/>
  <c r="O196" i="159" s="1"/>
  <c r="AJ356" i="1"/>
  <c r="Z356" i="1" s="1"/>
  <c r="AJ400" i="1"/>
  <c r="Z400" i="1" s="1"/>
  <c r="AL400" i="1"/>
  <c r="O201" i="159" s="1"/>
  <c r="AL212" i="1"/>
  <c r="O402" i="159" s="1"/>
  <c r="AJ212" i="1"/>
  <c r="Z212" i="1" s="1"/>
  <c r="AL217" i="1"/>
  <c r="O408" i="159" s="1"/>
  <c r="AJ217" i="1"/>
  <c r="Z217" i="1" s="1"/>
  <c r="AL302" i="1"/>
  <c r="O8" i="159" s="1"/>
  <c r="AJ302" i="1"/>
  <c r="Z302" i="1" s="1"/>
  <c r="AL404" i="1"/>
  <c r="O175" i="159" s="1"/>
  <c r="AJ404" i="1"/>
  <c r="Z404" i="1" s="1"/>
  <c r="AL412" i="1"/>
  <c r="O279" i="159" s="1"/>
  <c r="AJ412" i="1"/>
  <c r="Z412" i="1" s="1"/>
  <c r="AL223" i="1"/>
  <c r="O273" i="159" s="1"/>
  <c r="AJ223" i="1"/>
  <c r="Z223" i="1" s="1"/>
  <c r="AJ294" i="1"/>
  <c r="Z294" i="1" s="1"/>
  <c r="AL294" i="1"/>
  <c r="O300" i="159" s="1"/>
  <c r="AL300" i="1"/>
  <c r="O263" i="159" s="1"/>
  <c r="AJ300" i="1"/>
  <c r="Z300" i="1" s="1"/>
  <c r="AL386" i="1"/>
  <c r="O308" i="159" s="1"/>
  <c r="AJ386" i="1"/>
  <c r="Z386" i="1" s="1"/>
  <c r="AL58" i="1"/>
  <c r="O296" i="159" s="1"/>
  <c r="AJ58" i="1"/>
  <c r="Z58" i="1" s="1"/>
  <c r="AL311" i="1"/>
  <c r="O143" i="159" s="1"/>
  <c r="AJ311" i="1"/>
  <c r="Z311" i="1" s="1"/>
  <c r="AL65" i="1"/>
  <c r="O147" i="159" s="1"/>
  <c r="AJ65" i="1"/>
  <c r="Z65" i="1" s="1"/>
  <c r="AL80" i="1"/>
  <c r="O62" i="159" s="1"/>
  <c r="AJ80" i="1"/>
  <c r="Z80" i="1" s="1"/>
  <c r="AL158" i="1"/>
  <c r="O38" i="159" s="1"/>
  <c r="AJ158" i="1"/>
  <c r="Z158" i="1" s="1"/>
  <c r="AL108" i="1"/>
  <c r="O54" i="159" s="1"/>
  <c r="AJ108" i="1"/>
  <c r="Z108" i="1" s="1"/>
  <c r="AL154" i="1"/>
  <c r="O65" i="159" s="1"/>
  <c r="AJ154" i="1"/>
  <c r="Z154" i="1" s="1"/>
  <c r="AJ184" i="1"/>
  <c r="Z184" i="1" s="1"/>
  <c r="AL184" i="1"/>
  <c r="O63" i="159" s="1"/>
  <c r="AL391" i="1"/>
  <c r="O232" i="159" s="1"/>
  <c r="AJ391" i="1"/>
  <c r="Z391" i="1" s="1"/>
  <c r="AL142" i="1"/>
  <c r="O223" i="159" s="1"/>
  <c r="AJ142" i="1"/>
  <c r="Z142" i="1" s="1"/>
  <c r="AL392" i="1"/>
  <c r="O221" i="159" s="1"/>
  <c r="AJ392" i="1"/>
  <c r="Z392" i="1" s="1"/>
  <c r="AL327" i="1"/>
  <c r="O248" i="159" s="1"/>
  <c r="AJ327" i="1"/>
  <c r="Z327" i="1" s="1"/>
  <c r="AL394" i="1"/>
  <c r="O243" i="159" s="1"/>
  <c r="AJ394" i="1"/>
  <c r="Z394" i="1" s="1"/>
  <c r="AJ230" i="1"/>
  <c r="Z230" i="1" s="1"/>
  <c r="AL230" i="1"/>
  <c r="O91" i="159" s="1"/>
  <c r="AL64" i="1"/>
  <c r="O139" i="159" s="1"/>
  <c r="AJ64" i="1"/>
  <c r="Z64" i="1" s="1"/>
  <c r="AJ305" i="1"/>
  <c r="Z305" i="1" s="1"/>
  <c r="AL305" i="1"/>
  <c r="O71" i="159" s="1"/>
  <c r="AL135" i="1"/>
  <c r="O103" i="159" s="1"/>
  <c r="AJ135" i="1"/>
  <c r="Z135" i="1" s="1"/>
  <c r="AL159" i="1"/>
  <c r="O101" i="159" s="1"/>
  <c r="AJ159" i="1"/>
  <c r="Z159" i="1" s="1"/>
  <c r="AJ55" i="1"/>
  <c r="Z55" i="1" s="1"/>
  <c r="AL55" i="1"/>
  <c r="O122" i="159" s="1"/>
  <c r="AL179" i="1"/>
  <c r="O125" i="159" s="1"/>
  <c r="AJ179" i="1"/>
  <c r="Z179" i="1" s="1"/>
  <c r="AJ177" i="1"/>
  <c r="Z177" i="1" s="1"/>
  <c r="AL177" i="1"/>
  <c r="O96" i="159" s="1"/>
  <c r="AL117" i="1"/>
  <c r="O9" i="159" s="1"/>
  <c r="AJ117" i="1"/>
  <c r="Z117" i="1" s="1"/>
  <c r="AL329" i="1"/>
  <c r="O155" i="159" s="1"/>
  <c r="AJ329" i="1"/>
  <c r="Z329" i="1" s="1"/>
  <c r="AL115" i="1"/>
  <c r="O20" i="159" s="1"/>
  <c r="AJ115" i="1"/>
  <c r="Z115" i="1" s="1"/>
  <c r="AL243" i="1"/>
  <c r="O193" i="159" s="1"/>
  <c r="AJ243" i="1"/>
  <c r="Z243" i="1" s="1"/>
  <c r="AL147" i="1"/>
  <c r="O195" i="159" s="1"/>
  <c r="AJ147" i="1"/>
  <c r="Z147" i="1" s="1"/>
  <c r="AJ232" i="1"/>
  <c r="Z232" i="1" s="1"/>
  <c r="AL232" i="1"/>
  <c r="O188" i="159" s="1"/>
  <c r="AL204" i="1"/>
  <c r="O409" i="159" s="1"/>
  <c r="AJ204" i="1"/>
  <c r="Z204" i="1" s="1"/>
  <c r="AJ209" i="1"/>
  <c r="Z209" i="1" s="1"/>
  <c r="AL209" i="1"/>
  <c r="O404" i="159" s="1"/>
  <c r="AL125" i="1"/>
  <c r="O6" i="159" s="1"/>
  <c r="AJ125" i="1"/>
  <c r="Z125" i="1" s="1"/>
  <c r="AL398" i="1"/>
  <c r="O176" i="159" s="1"/>
  <c r="AJ398" i="1"/>
  <c r="Z398" i="1" s="1"/>
  <c r="AL335" i="1"/>
  <c r="O287" i="159" s="1"/>
  <c r="AJ335" i="1"/>
  <c r="Z335" i="1" s="1"/>
  <c r="AL405" i="1"/>
  <c r="O272" i="159" s="1"/>
  <c r="AJ405" i="1"/>
  <c r="Z405" i="1" s="1"/>
  <c r="AL286" i="1"/>
  <c r="O257" i="159" s="1"/>
  <c r="AJ286" i="1"/>
  <c r="Z286" i="1" s="1"/>
  <c r="AL292" i="1"/>
  <c r="O301" i="159" s="1"/>
  <c r="AJ292" i="1"/>
  <c r="Z292" i="1" s="1"/>
  <c r="AL354" i="1"/>
  <c r="O261" i="159" s="1"/>
  <c r="AJ354" i="1"/>
  <c r="Z354" i="1" s="1"/>
  <c r="AJ336" i="1"/>
  <c r="Z336" i="1" s="1"/>
  <c r="AL336" i="1"/>
  <c r="O276" i="159" s="1"/>
  <c r="AL87" i="1"/>
  <c r="O152" i="159" s="1"/>
  <c r="AJ87" i="1"/>
  <c r="Z87" i="1" s="1"/>
  <c r="AL126" i="1"/>
  <c r="O341" i="159" s="1"/>
  <c r="AJ126" i="1"/>
  <c r="Z126" i="1" s="1"/>
  <c r="AL373" i="1"/>
  <c r="O41" i="159" s="1"/>
  <c r="AJ373" i="1"/>
  <c r="Z373" i="1" s="1"/>
  <c r="AJ150" i="1"/>
  <c r="Z150" i="1" s="1"/>
  <c r="AL150" i="1"/>
  <c r="O50" i="159" s="1"/>
  <c r="AL85" i="1"/>
  <c r="O61" i="159" s="1"/>
  <c r="AJ85" i="1"/>
  <c r="Z85" i="1" s="1"/>
  <c r="AL361" i="1"/>
  <c r="O45" i="159" s="1"/>
  <c r="AJ361" i="1"/>
  <c r="Z361" i="1" s="1"/>
  <c r="AL261" i="1"/>
  <c r="O170" i="159" s="1"/>
  <c r="AJ261" i="1"/>
  <c r="Z261" i="1" s="1"/>
  <c r="AJ389" i="1"/>
  <c r="Z389" i="1" s="1"/>
  <c r="AL389" i="1"/>
  <c r="O226" i="159" s="1"/>
  <c r="AL78" i="1"/>
  <c r="O229" i="159" s="1"/>
  <c r="AJ78" i="1"/>
  <c r="Z78" i="1" s="1"/>
  <c r="AL152" i="1"/>
  <c r="O220" i="159" s="1"/>
  <c r="AJ152" i="1"/>
  <c r="Z152" i="1" s="1"/>
  <c r="AL285" i="1"/>
  <c r="O241" i="159" s="1"/>
  <c r="AJ285" i="1"/>
  <c r="Z285" i="1" s="1"/>
  <c r="AL249" i="1"/>
  <c r="O245" i="159" s="1"/>
  <c r="AJ249" i="1"/>
  <c r="Z249" i="1" s="1"/>
  <c r="AL133" i="1"/>
  <c r="O90" i="159" s="1"/>
  <c r="AJ133" i="1"/>
  <c r="Z133" i="1" s="1"/>
  <c r="AL269" i="1"/>
  <c r="AJ269" i="1"/>
  <c r="Z269" i="1" s="1"/>
  <c r="AL352" i="1"/>
  <c r="O72" i="159" s="1"/>
  <c r="AJ352" i="1"/>
  <c r="Z352" i="1" s="1"/>
  <c r="AJ333" i="1"/>
  <c r="Z333" i="1" s="1"/>
  <c r="AL333" i="1"/>
  <c r="O100" i="159" s="1"/>
  <c r="AL189" i="1"/>
  <c r="O98" i="159" s="1"/>
  <c r="AJ189" i="1"/>
  <c r="Z189" i="1" s="1"/>
  <c r="AL141" i="1"/>
  <c r="O135" i="159" s="1"/>
  <c r="AJ141" i="1"/>
  <c r="Z141" i="1" s="1"/>
  <c r="AJ139" i="1"/>
  <c r="Z139" i="1" s="1"/>
  <c r="AL139" i="1"/>
  <c r="O121" i="159" s="1"/>
  <c r="AL137" i="1"/>
  <c r="O104" i="159" s="1"/>
  <c r="AJ137" i="1"/>
  <c r="Z137" i="1" s="1"/>
  <c r="AJ344" i="1"/>
  <c r="Z344" i="1" s="1"/>
  <c r="AL344" i="1"/>
  <c r="O10" i="159" s="1"/>
  <c r="AL271" i="1"/>
  <c r="AJ271" i="1"/>
  <c r="Z271" i="1" s="1"/>
  <c r="AL242" i="1"/>
  <c r="O16" i="159" s="1"/>
  <c r="AJ242" i="1"/>
  <c r="Z242" i="1" s="1"/>
  <c r="AL359" i="1"/>
  <c r="O202" i="159" s="1"/>
  <c r="AJ359" i="1"/>
  <c r="Z359" i="1" s="1"/>
  <c r="AL92" i="1"/>
  <c r="O186" i="159" s="1"/>
  <c r="AJ92" i="1"/>
  <c r="Z92" i="1" s="1"/>
  <c r="AL219" i="1"/>
  <c r="O407" i="159" s="1"/>
  <c r="AJ219" i="1"/>
  <c r="Z219" i="1" s="1"/>
  <c r="AL211" i="1"/>
  <c r="O411" i="159" s="1"/>
  <c r="AJ211" i="1"/>
  <c r="Z211" i="1" s="1"/>
  <c r="AL185" i="1"/>
  <c r="O394" i="159" s="1"/>
  <c r="AJ185" i="1"/>
  <c r="Z185" i="1" s="1"/>
  <c r="AL197" i="1"/>
  <c r="O386" i="159" s="1"/>
  <c r="AJ197" i="1"/>
  <c r="Z197" i="1" s="1"/>
  <c r="AL244" i="1"/>
  <c r="O172" i="159" s="1"/>
  <c r="AJ244" i="1"/>
  <c r="Z244" i="1" s="1"/>
  <c r="AL229" i="1"/>
  <c r="O297" i="159" s="1"/>
  <c r="AJ229" i="1"/>
  <c r="Z229" i="1" s="1"/>
  <c r="AL239" i="1"/>
  <c r="O289" i="159" s="1"/>
  <c r="AJ239" i="1"/>
  <c r="Z239" i="1" s="1"/>
  <c r="AL254" i="1"/>
  <c r="O283" i="159" s="1"/>
  <c r="AJ254" i="1"/>
  <c r="Z254" i="1" s="1"/>
  <c r="AL276" i="1"/>
  <c r="O281" i="159" s="1"/>
  <c r="AJ276" i="1"/>
  <c r="Z276" i="1" s="1"/>
  <c r="AL282" i="1"/>
  <c r="O275" i="159" s="1"/>
  <c r="AJ282" i="1"/>
  <c r="Z282" i="1" s="1"/>
  <c r="AL288" i="1"/>
  <c r="O265" i="159" s="1"/>
  <c r="AJ288" i="1"/>
  <c r="Z288" i="1" s="1"/>
  <c r="AL69" i="1"/>
  <c r="O146" i="159" s="1"/>
  <c r="AJ69" i="1"/>
  <c r="Z69" i="1" s="1"/>
  <c r="AL228" i="1"/>
  <c r="O343" i="159" s="1"/>
  <c r="AJ228" i="1"/>
  <c r="Z228" i="1" s="1"/>
  <c r="AL371" i="1"/>
  <c r="O51" i="159" s="1"/>
  <c r="AJ371" i="1"/>
  <c r="Z371" i="1" s="1"/>
  <c r="AJ62" i="1"/>
  <c r="Z62" i="1" s="1"/>
  <c r="AL62" i="1"/>
  <c r="O49" i="159" s="1"/>
  <c r="AL155" i="1"/>
  <c r="O35" i="159" s="1"/>
  <c r="AJ155" i="1"/>
  <c r="Z155" i="1" s="1"/>
  <c r="AL313" i="1"/>
  <c r="O60" i="159" s="1"/>
  <c r="AJ313" i="1"/>
  <c r="Z313" i="1" s="1"/>
  <c r="AL237" i="1"/>
  <c r="O166" i="159" s="1"/>
  <c r="AJ237" i="1"/>
  <c r="Z237" i="1" s="1"/>
  <c r="AL275" i="1"/>
  <c r="O217" i="159" s="1"/>
  <c r="AJ275" i="1"/>
  <c r="Z275" i="1" s="1"/>
  <c r="AL70" i="1"/>
  <c r="O233" i="159" s="1"/>
  <c r="AJ70" i="1"/>
  <c r="Z70" i="1" s="1"/>
  <c r="AL144" i="1"/>
  <c r="O227" i="159" s="1"/>
  <c r="AJ144" i="1"/>
  <c r="Z144" i="1" s="1"/>
  <c r="AL388" i="1"/>
  <c r="O247" i="159" s="1"/>
  <c r="AJ388" i="1"/>
  <c r="Z388" i="1" s="1"/>
  <c r="AL328" i="1"/>
  <c r="O242" i="159" s="1"/>
  <c r="AJ328" i="1"/>
  <c r="Z328" i="1" s="1"/>
  <c r="AJ408" i="1"/>
  <c r="Z408" i="1" s="1"/>
  <c r="AL408" i="1"/>
  <c r="O89" i="159" s="1"/>
  <c r="AL304" i="1"/>
  <c r="O74" i="159" s="1"/>
  <c r="AJ304" i="1"/>
  <c r="Z304" i="1" s="1"/>
  <c r="AL247" i="1"/>
  <c r="O112" i="159" s="1"/>
  <c r="AJ247" i="1"/>
  <c r="Z247" i="1" s="1"/>
  <c r="AL157" i="1"/>
  <c r="O134" i="159" s="1"/>
  <c r="AJ157" i="1"/>
  <c r="Z157" i="1" s="1"/>
  <c r="AL100" i="1"/>
  <c r="O133" i="159" s="1"/>
  <c r="AJ100" i="1"/>
  <c r="Z100" i="1" s="1"/>
  <c r="AJ98" i="1"/>
  <c r="Z98" i="1" s="1"/>
  <c r="AL98" i="1"/>
  <c r="O130" i="159" s="1"/>
  <c r="AJ267" i="1"/>
  <c r="Z267" i="1" s="1"/>
  <c r="AL267" i="1"/>
  <c r="O315" i="159" s="1"/>
  <c r="AJ331" i="1"/>
  <c r="Z331" i="1" s="1"/>
  <c r="AL331" i="1"/>
  <c r="O23" i="159" s="1"/>
  <c r="AJ320" i="1"/>
  <c r="Z320" i="1" s="1"/>
  <c r="AL320" i="1"/>
  <c r="O14" i="159" s="1"/>
  <c r="AJ403" i="1"/>
  <c r="Z403" i="1" s="1"/>
  <c r="AL403" i="1"/>
  <c r="O187" i="159" s="1"/>
  <c r="AL346" i="1"/>
  <c r="O204" i="159" s="1"/>
  <c r="AJ346" i="1"/>
  <c r="Z346" i="1" s="1"/>
  <c r="AJ214" i="1"/>
  <c r="Z214" i="1" s="1"/>
  <c r="AL214" i="1"/>
  <c r="O406" i="159" s="1"/>
  <c r="AJ203" i="1"/>
  <c r="Z203" i="1" s="1"/>
  <c r="AL203" i="1"/>
  <c r="O392" i="159" s="1"/>
  <c r="AL240" i="1"/>
  <c r="O397" i="159" s="1"/>
  <c r="AJ240" i="1"/>
  <c r="Z240" i="1" s="1"/>
  <c r="AL181" i="1"/>
  <c r="O390" i="159" s="1"/>
  <c r="AJ181" i="1"/>
  <c r="Z181" i="1" s="1"/>
  <c r="AL195" i="1"/>
  <c r="O177" i="159" s="1"/>
  <c r="AJ195" i="1"/>
  <c r="Z195" i="1" s="1"/>
  <c r="AL72" i="1"/>
  <c r="O298" i="159" s="1"/>
  <c r="AJ72" i="1"/>
  <c r="Z72" i="1" s="1"/>
  <c r="AL343" i="1"/>
  <c r="O313" i="159" s="1"/>
  <c r="AJ343" i="1"/>
  <c r="Z343" i="1" s="1"/>
  <c r="AJ102" i="1"/>
  <c r="Z102" i="1" s="1"/>
  <c r="AL102" i="1"/>
  <c r="O290" i="159" s="1"/>
  <c r="AL260" i="1"/>
  <c r="O269" i="159" s="1"/>
  <c r="AJ260" i="1"/>
  <c r="Z260" i="1" s="1"/>
  <c r="AL218" i="1"/>
  <c r="O314" i="159" s="1"/>
  <c r="AJ218" i="1"/>
  <c r="Z218" i="1" s="1"/>
  <c r="AL280" i="1"/>
  <c r="O278" i="159" s="1"/>
  <c r="AJ280" i="1"/>
  <c r="Z280" i="1" s="1"/>
  <c r="AL314" i="1"/>
  <c r="O151" i="159" s="1"/>
  <c r="AJ314" i="1"/>
  <c r="Z314" i="1" s="1"/>
  <c r="AL130" i="1"/>
  <c r="O344" i="159" s="1"/>
  <c r="AJ130" i="1"/>
  <c r="Z130" i="1" s="1"/>
  <c r="AL221" i="1"/>
  <c r="O64" i="159" s="1"/>
  <c r="AJ221" i="1"/>
  <c r="Z221" i="1" s="1"/>
  <c r="AL364" i="1"/>
  <c r="O48" i="159" s="1"/>
  <c r="AJ364" i="1"/>
  <c r="Z364" i="1" s="1"/>
  <c r="AL84" i="1"/>
  <c r="O53" i="159" s="1"/>
  <c r="AJ84" i="1"/>
  <c r="Z84" i="1" s="1"/>
  <c r="AL105" i="1"/>
  <c r="O43" i="159" s="1"/>
  <c r="AJ105" i="1"/>
  <c r="Z105" i="1" s="1"/>
  <c r="AL88" i="1"/>
  <c r="O169" i="159" s="1"/>
  <c r="AJ88" i="1"/>
  <c r="Z88" i="1" s="1"/>
  <c r="AJ323" i="1"/>
  <c r="Z323" i="1" s="1"/>
  <c r="AL323" i="1"/>
  <c r="O236" i="159" s="1"/>
  <c r="AL324" i="1"/>
  <c r="O228" i="159" s="1"/>
  <c r="AJ324" i="1"/>
  <c r="Z324" i="1" s="1"/>
  <c r="AL112" i="1"/>
  <c r="O235" i="159" s="1"/>
  <c r="AJ112" i="1"/>
  <c r="Z112" i="1" s="1"/>
  <c r="AJ325" i="1"/>
  <c r="Z325" i="1" s="1"/>
  <c r="AL325" i="1"/>
  <c r="O251" i="159" s="1"/>
  <c r="AL119" i="1"/>
  <c r="O30" i="159" s="1"/>
  <c r="AJ119" i="1"/>
  <c r="Z119" i="1" s="1"/>
  <c r="AL224" i="1"/>
  <c r="O87" i="159" s="1"/>
  <c r="AJ224" i="1"/>
  <c r="Z224" i="1" s="1"/>
  <c r="AL270" i="1"/>
  <c r="AJ270" i="1"/>
  <c r="Z270" i="1" s="1"/>
  <c r="AJ182" i="1"/>
  <c r="Z182" i="1" s="1"/>
  <c r="AL182" i="1"/>
  <c r="O157" i="159" s="1"/>
  <c r="AL167" i="1"/>
  <c r="O126" i="159" s="1"/>
  <c r="AJ167" i="1"/>
  <c r="Z167" i="1" s="1"/>
  <c r="AL103" i="1"/>
  <c r="O106" i="159" s="1"/>
  <c r="AJ103" i="1"/>
  <c r="Z103" i="1" s="1"/>
  <c r="AL54" i="1"/>
  <c r="O110" i="159" s="1"/>
  <c r="AJ54" i="1"/>
  <c r="Z54" i="1" s="1"/>
  <c r="AL226" i="1"/>
  <c r="O129" i="159" s="1"/>
  <c r="AJ226" i="1"/>
  <c r="Z226" i="1" s="1"/>
  <c r="AJ248" i="1"/>
  <c r="Z248" i="1" s="1"/>
  <c r="AL248" i="1"/>
  <c r="O105" i="159" s="1"/>
  <c r="AJ262" i="1"/>
  <c r="Z262" i="1" s="1"/>
  <c r="AL262" i="1"/>
  <c r="O318" i="159" s="1"/>
  <c r="AL309" i="1"/>
  <c r="O15" i="159" s="1"/>
  <c r="AJ309" i="1"/>
  <c r="Z309" i="1" s="1"/>
  <c r="AL274" i="1"/>
  <c r="O162" i="159" s="1"/>
  <c r="AJ274" i="1"/>
  <c r="Z274" i="1" s="1"/>
  <c r="AL279" i="1"/>
  <c r="O190" i="159" s="1"/>
  <c r="AJ279" i="1"/>
  <c r="Z279" i="1" s="1"/>
  <c r="AL146" i="1"/>
  <c r="O197" i="159" s="1"/>
  <c r="AJ146" i="1"/>
  <c r="Z146" i="1" s="1"/>
  <c r="AL206" i="1"/>
  <c r="O393" i="159" s="1"/>
  <c r="AJ206" i="1"/>
  <c r="Z206" i="1" s="1"/>
  <c r="AL210" i="1"/>
  <c r="O395" i="159" s="1"/>
  <c r="AJ210" i="1"/>
  <c r="Z210" i="1" s="1"/>
  <c r="AL208" i="1"/>
  <c r="O403" i="159" s="1"/>
  <c r="AJ208" i="1"/>
  <c r="Z208" i="1" s="1"/>
  <c r="AJ198" i="1"/>
  <c r="Z198" i="1" s="1"/>
  <c r="AL198" i="1"/>
  <c r="O387" i="159" s="1"/>
  <c r="AL66" i="1"/>
  <c r="O174" i="159" s="1"/>
  <c r="AJ66" i="1"/>
  <c r="Z66" i="1" s="1"/>
  <c r="AH168" i="1"/>
  <c r="AH201" i="1"/>
  <c r="AH171" i="1"/>
  <c r="AH164" i="1"/>
  <c r="AH180" i="1"/>
  <c r="AH252" i="1"/>
  <c r="AH213" i="1"/>
  <c r="AH363" i="1"/>
  <c r="AH355" i="1"/>
  <c r="AH397" i="1"/>
  <c r="AH48" i="1"/>
  <c r="AH321" i="1"/>
  <c r="AL227" i="1"/>
  <c r="O306" i="159" s="1"/>
  <c r="AJ227" i="1"/>
  <c r="Z227" i="1" s="1"/>
  <c r="AL63" i="1"/>
  <c r="O291" i="159" s="1"/>
  <c r="AJ63" i="1"/>
  <c r="Z63" i="1" s="1"/>
  <c r="AL353" i="1"/>
  <c r="O277" i="159" s="1"/>
  <c r="AJ353" i="1"/>
  <c r="Z353" i="1" s="1"/>
  <c r="AL57" i="1"/>
  <c r="O311" i="159" s="1"/>
  <c r="AJ57" i="1"/>
  <c r="Z57" i="1" s="1"/>
  <c r="AL172" i="1"/>
  <c r="O37" i="159" s="1"/>
  <c r="AJ172" i="1"/>
  <c r="Z172" i="1" s="1"/>
  <c r="AJ376" i="1"/>
  <c r="Z376" i="1" s="1"/>
  <c r="AL376" i="1"/>
  <c r="O55" i="159" s="1"/>
  <c r="AL406" i="1"/>
  <c r="O234" i="159" s="1"/>
  <c r="AJ406" i="1"/>
  <c r="Z406" i="1" s="1"/>
  <c r="AJ120" i="1"/>
  <c r="Z120" i="1" s="1"/>
  <c r="AL120" i="1"/>
  <c r="O255" i="159" s="1"/>
  <c r="AL86" i="1"/>
  <c r="O29" i="159" s="1"/>
  <c r="AJ86" i="1"/>
  <c r="Z86" i="1" s="1"/>
  <c r="AL307" i="1"/>
  <c r="O73" i="159" s="1"/>
  <c r="AJ307" i="1"/>
  <c r="Z307" i="1" s="1"/>
  <c r="AL407" i="1"/>
  <c r="O120" i="159" s="1"/>
  <c r="AJ407" i="1"/>
  <c r="Z407" i="1" s="1"/>
  <c r="AL140" i="1"/>
  <c r="O113" i="159" s="1"/>
  <c r="AJ140" i="1"/>
  <c r="Z140" i="1" s="1"/>
  <c r="AL205" i="1"/>
  <c r="O185" i="159" s="1"/>
  <c r="AJ205" i="1"/>
  <c r="Z205" i="1" s="1"/>
  <c r="AL255" i="1"/>
  <c r="O137" i="159" s="1"/>
  <c r="AJ255" i="1"/>
  <c r="Z255" i="1" s="1"/>
  <c r="AH29" i="1"/>
  <c r="AL29" i="1" s="1"/>
  <c r="O381" i="159" s="1"/>
  <c r="AH121" i="1"/>
  <c r="AH303" i="1"/>
  <c r="AH127" i="1"/>
  <c r="AH199" i="1"/>
  <c r="AH128" i="1"/>
  <c r="AH264" i="1"/>
  <c r="AH289" i="1"/>
  <c r="AH337" i="1"/>
  <c r="AH122" i="1"/>
  <c r="AH124" i="1"/>
  <c r="AH132" i="1"/>
  <c r="AH293" i="1"/>
  <c r="AL263" i="1"/>
  <c r="O69" i="159" s="1"/>
  <c r="AJ263" i="1"/>
  <c r="Z263" i="1" s="1"/>
  <c r="AL256" i="1"/>
  <c r="O179" i="159" s="1"/>
  <c r="AJ256" i="1"/>
  <c r="Z256" i="1" s="1"/>
  <c r="AH46" i="1"/>
  <c r="AH319" i="1"/>
  <c r="AH381" i="1"/>
  <c r="AH173" i="1"/>
  <c r="AH9" i="1"/>
  <c r="AH347" i="1"/>
  <c r="AH296" i="1"/>
  <c r="AH297" i="1"/>
  <c r="AH316" i="1"/>
  <c r="AH318" i="1"/>
  <c r="AH301" i="1"/>
  <c r="AH317" i="1"/>
  <c r="AL83" i="1"/>
  <c r="O66" i="159" s="1"/>
  <c r="AJ83" i="1"/>
  <c r="Z83" i="1" s="1"/>
  <c r="AH35" i="1"/>
  <c r="AH241" i="1"/>
  <c r="AH257" i="1"/>
  <c r="AH377" i="1"/>
  <c r="AH234" i="1"/>
  <c r="AH283" i="1"/>
  <c r="AH253" i="1"/>
  <c r="AH165" i="1"/>
  <c r="AH272" i="1"/>
  <c r="AJ411" i="1"/>
  <c r="Z411" i="1" s="1"/>
  <c r="AL411" i="1"/>
  <c r="O266" i="159" s="1"/>
  <c r="AL259" i="1"/>
  <c r="O312" i="159" s="1"/>
  <c r="AJ259" i="1"/>
  <c r="Z259" i="1" s="1"/>
  <c r="AL71" i="1"/>
  <c r="O271" i="159" s="1"/>
  <c r="AJ71" i="1"/>
  <c r="Z71" i="1" s="1"/>
  <c r="AL196" i="1"/>
  <c r="O270" i="159" s="1"/>
  <c r="AJ196" i="1"/>
  <c r="Z196" i="1" s="1"/>
  <c r="AL114" i="1"/>
  <c r="O295" i="159" s="1"/>
  <c r="AJ114" i="1"/>
  <c r="Z114" i="1" s="1"/>
  <c r="AL89" i="1"/>
  <c r="O284" i="159" s="1"/>
  <c r="AJ89" i="1"/>
  <c r="Z89" i="1" s="1"/>
  <c r="AL170" i="1"/>
  <c r="O149" i="159" s="1"/>
  <c r="AJ170" i="1"/>
  <c r="Z170" i="1" s="1"/>
  <c r="AL409" i="1"/>
  <c r="O239" i="159" s="1"/>
  <c r="AJ409" i="1"/>
  <c r="Z409" i="1" s="1"/>
  <c r="AL191" i="1"/>
  <c r="O39" i="159" s="1"/>
  <c r="AJ191" i="1"/>
  <c r="Z191" i="1" s="1"/>
  <c r="AL236" i="1"/>
  <c r="O36" i="159" s="1"/>
  <c r="AJ236" i="1"/>
  <c r="Z236" i="1" s="1"/>
  <c r="AL362" i="1"/>
  <c r="O57" i="159" s="1"/>
  <c r="AJ362" i="1"/>
  <c r="Z362" i="1" s="1"/>
  <c r="AJ384" i="1"/>
  <c r="Z384" i="1" s="1"/>
  <c r="AL384" i="1"/>
  <c r="O46" i="159" s="1"/>
  <c r="AL76" i="1"/>
  <c r="O163" i="159" s="1"/>
  <c r="AJ76" i="1"/>
  <c r="Z76" i="1" s="1"/>
  <c r="AL383" i="1"/>
  <c r="O225" i="159" s="1"/>
  <c r="AJ383" i="1"/>
  <c r="Z383" i="1" s="1"/>
  <c r="AL308" i="1"/>
  <c r="O231" i="159" s="1"/>
  <c r="AJ308" i="1"/>
  <c r="Z308" i="1" s="1"/>
  <c r="AL82" i="1"/>
  <c r="O253" i="159" s="1"/>
  <c r="AJ82" i="1"/>
  <c r="Z82" i="1" s="1"/>
  <c r="AL382" i="1"/>
  <c r="O249" i="159" s="1"/>
  <c r="AJ382" i="1"/>
  <c r="Z382" i="1" s="1"/>
  <c r="AL295" i="1"/>
  <c r="O28" i="159" s="1"/>
  <c r="AJ295" i="1"/>
  <c r="Z295" i="1" s="1"/>
  <c r="AJ339" i="1"/>
  <c r="Z339" i="1" s="1"/>
  <c r="AL339" i="1"/>
  <c r="O26" i="159" s="1"/>
  <c r="AL284" i="1"/>
  <c r="O160" i="159" s="1"/>
  <c r="AJ284" i="1"/>
  <c r="Z284" i="1" s="1"/>
  <c r="AL175" i="1"/>
  <c r="O95" i="159" s="1"/>
  <c r="AJ175" i="1"/>
  <c r="Z175" i="1" s="1"/>
  <c r="AL96" i="1"/>
  <c r="O128" i="159" s="1"/>
  <c r="AJ96" i="1"/>
  <c r="Z96" i="1" s="1"/>
  <c r="AL188" i="1"/>
  <c r="O118" i="159" s="1"/>
  <c r="AJ188" i="1"/>
  <c r="Z188" i="1" s="1"/>
  <c r="AL162" i="1"/>
  <c r="O107" i="159" s="1"/>
  <c r="AJ162" i="1"/>
  <c r="Z162" i="1" s="1"/>
  <c r="AL216" i="1"/>
  <c r="O108" i="159" s="1"/>
  <c r="AJ216" i="1"/>
  <c r="Z216" i="1" s="1"/>
  <c r="AL266" i="1"/>
  <c r="O317" i="159" s="1"/>
  <c r="AJ266" i="1"/>
  <c r="Z266" i="1" s="1"/>
  <c r="AJ310" i="1"/>
  <c r="Z310" i="1" s="1"/>
  <c r="AL310" i="1"/>
  <c r="O17" i="159" s="1"/>
  <c r="AL151" i="1"/>
  <c r="O182" i="159" s="1"/>
  <c r="AJ151" i="1"/>
  <c r="Z151" i="1" s="1"/>
  <c r="AL106" i="1"/>
  <c r="O198" i="159" s="1"/>
  <c r="AJ106" i="1"/>
  <c r="Z106" i="1" s="1"/>
  <c r="AL380" i="1"/>
  <c r="O400" i="159" s="1"/>
  <c r="AJ380" i="1"/>
  <c r="Z380" i="1" s="1"/>
  <c r="AL202" i="1"/>
  <c r="O396" i="159" s="1"/>
  <c r="AJ202" i="1"/>
  <c r="Z202" i="1" s="1"/>
  <c r="AL176" i="1"/>
  <c r="O399" i="159" s="1"/>
  <c r="AJ176" i="1"/>
  <c r="Z176" i="1" s="1"/>
  <c r="AL174" i="1"/>
  <c r="O388" i="159" s="1"/>
  <c r="AJ174" i="1"/>
  <c r="Z174" i="1" s="1"/>
  <c r="AL73" i="1"/>
  <c r="O178" i="159" s="1"/>
  <c r="AJ73" i="1"/>
  <c r="Z73" i="1" s="1"/>
  <c r="AH40" i="1"/>
  <c r="AH12" i="1"/>
  <c r="AH31" i="1"/>
  <c r="AH6" i="1"/>
  <c r="AL6" i="1" s="1"/>
  <c r="O319" i="159" s="1"/>
  <c r="AH33" i="1"/>
  <c r="AH16" i="1"/>
  <c r="AH7" i="1"/>
  <c r="AH17" i="1"/>
  <c r="AH34" i="1"/>
  <c r="AH10" i="1"/>
  <c r="AH30" i="1"/>
  <c r="AJ30" i="1" s="1"/>
  <c r="N28" i="71"/>
  <c r="N60" i="71"/>
  <c r="N56" i="71"/>
  <c r="AH26" i="1"/>
  <c r="AH27" i="1"/>
  <c r="AH52" i="1"/>
  <c r="AH49" i="1"/>
  <c r="AH13" i="1"/>
  <c r="AH47" i="1"/>
  <c r="AH20" i="1"/>
  <c r="AH19" i="1"/>
  <c r="AK6" i="1"/>
  <c r="AM6" i="1"/>
  <c r="N319" i="159" s="1"/>
  <c r="AJ11" i="1"/>
  <c r="AL11" i="1"/>
  <c r="O254" i="159" s="1"/>
  <c r="AJ45" i="1"/>
  <c r="AL45" i="1"/>
  <c r="O262" i="159" s="1"/>
  <c r="AK7" i="1"/>
  <c r="AM7" i="1"/>
  <c r="N288" i="159" s="1"/>
  <c r="AK41" i="1"/>
  <c r="AM41" i="1"/>
  <c r="N153" i="159" s="1"/>
  <c r="AK38" i="1"/>
  <c r="AM38" i="1"/>
  <c r="N19" i="159" s="1"/>
  <c r="AK18" i="1"/>
  <c r="AM18" i="1"/>
  <c r="N200" i="159" s="1"/>
  <c r="AJ38" i="1"/>
  <c r="AL38" i="1"/>
  <c r="O19" i="159" s="1"/>
  <c r="AK11" i="1"/>
  <c r="AM11" i="1"/>
  <c r="N254" i="159" s="1"/>
  <c r="AK21" i="1"/>
  <c r="AA21" i="1" s="1"/>
  <c r="AM21" i="1"/>
  <c r="N304" i="159" s="1"/>
  <c r="AJ51" i="1"/>
  <c r="AL51" i="1"/>
  <c r="O124" i="159" s="1"/>
  <c r="AK23" i="1"/>
  <c r="AM23" i="1"/>
  <c r="N67" i="159" s="1"/>
  <c r="AJ28" i="1"/>
  <c r="AL28" i="1"/>
  <c r="O292" i="159" s="1"/>
  <c r="AK29" i="1"/>
  <c r="AM29" i="1"/>
  <c r="N381" i="159" s="1"/>
  <c r="AM35" i="1"/>
  <c r="N328" i="159" s="1"/>
  <c r="AK53" i="1"/>
  <c r="AM53" i="1"/>
  <c r="N131" i="159" s="1"/>
  <c r="AJ23" i="1"/>
  <c r="AL23" i="1"/>
  <c r="O67" i="159" s="1"/>
  <c r="AJ8" i="1"/>
  <c r="AL8" i="1"/>
  <c r="O181" i="159" s="1"/>
  <c r="AK40" i="1"/>
  <c r="AM40" i="1"/>
  <c r="N371" i="159" s="1"/>
  <c r="AJ42" i="1"/>
  <c r="AL42" i="1"/>
  <c r="O164" i="159" s="1"/>
  <c r="AJ53" i="1"/>
  <c r="AL53" i="1"/>
  <c r="O131" i="159" s="1"/>
  <c r="AJ24" i="1"/>
  <c r="Z24" i="1" s="1"/>
  <c r="AL24" i="1"/>
  <c r="O142" i="159" s="1"/>
  <c r="AK8" i="1"/>
  <c r="AM8" i="1"/>
  <c r="N181" i="159" s="1"/>
  <c r="AK48" i="1"/>
  <c r="AM48" i="1"/>
  <c r="N299" i="159" s="1"/>
  <c r="AM14" i="1"/>
  <c r="N203" i="159" s="1"/>
  <c r="AJ21" i="1"/>
  <c r="AL21" i="1"/>
  <c r="O304" i="159" s="1"/>
  <c r="AK16" i="1"/>
  <c r="AM16" i="1"/>
  <c r="N274" i="159" s="1"/>
  <c r="AK44" i="1"/>
  <c r="AM44" i="1"/>
  <c r="N168" i="159" s="1"/>
  <c r="AK25" i="1"/>
  <c r="AM25" i="1"/>
  <c r="N309" i="159" s="1"/>
  <c r="AK9" i="1"/>
  <c r="AM9" i="1"/>
  <c r="N346" i="159" s="1"/>
  <c r="AK31" i="1"/>
  <c r="AM31" i="1"/>
  <c r="N180" i="159" s="1"/>
  <c r="AK36" i="1"/>
  <c r="AM36" i="1"/>
  <c r="N305" i="159" s="1"/>
  <c r="AK37" i="1"/>
  <c r="AM37" i="1"/>
  <c r="N303" i="159" s="1"/>
  <c r="AK17" i="1"/>
  <c r="AM17" i="1"/>
  <c r="N230" i="159" s="1"/>
  <c r="AK42" i="1"/>
  <c r="AM42" i="1"/>
  <c r="N164" i="159" s="1"/>
  <c r="AK43" i="1"/>
  <c r="AM43" i="1"/>
  <c r="N189" i="159" s="1"/>
  <c r="AK46" i="1"/>
  <c r="AM46" i="1"/>
  <c r="N336" i="159" s="1"/>
  <c r="AJ44" i="1"/>
  <c r="AL44" i="1"/>
  <c r="O168" i="159" s="1"/>
  <c r="AK39" i="1"/>
  <c r="AM39" i="1"/>
  <c r="N70" i="159" s="1"/>
  <c r="AJ43" i="1"/>
  <c r="AL43" i="1"/>
  <c r="O189" i="159" s="1"/>
  <c r="AJ18" i="1"/>
  <c r="AL18" i="1"/>
  <c r="O200" i="159" s="1"/>
  <c r="AJ32" i="1"/>
  <c r="AL32" i="1"/>
  <c r="O282" i="159" s="1"/>
  <c r="AK45" i="1"/>
  <c r="AM45" i="1"/>
  <c r="N262" i="159" s="1"/>
  <c r="AJ39" i="1"/>
  <c r="AL39" i="1"/>
  <c r="O70" i="159" s="1"/>
  <c r="AK28" i="1"/>
  <c r="AM28" i="1"/>
  <c r="N292" i="159" s="1"/>
  <c r="AK50" i="1"/>
  <c r="AM50" i="1"/>
  <c r="N123" i="159" s="1"/>
  <c r="AK12" i="1"/>
  <c r="AM12" i="1"/>
  <c r="N380" i="159" s="1"/>
  <c r="AK30" i="1"/>
  <c r="AM30" i="1"/>
  <c r="N342" i="159" s="1"/>
  <c r="AK34" i="1"/>
  <c r="N14" i="71" s="1"/>
  <c r="AM34" i="1"/>
  <c r="AJ50" i="1"/>
  <c r="AL50" i="1"/>
  <c r="O123" i="159" s="1"/>
  <c r="AJ25" i="1"/>
  <c r="AL25" i="1"/>
  <c r="O309" i="159" s="1"/>
  <c r="AK32" i="1"/>
  <c r="AM32" i="1"/>
  <c r="N282" i="159" s="1"/>
  <c r="AK51" i="1"/>
  <c r="AM51" i="1"/>
  <c r="N124" i="159" s="1"/>
  <c r="AK33" i="1"/>
  <c r="AM33" i="1"/>
  <c r="N322" i="159" s="1"/>
  <c r="AJ14" i="1"/>
  <c r="AL14" i="1"/>
  <c r="O203" i="159" s="1"/>
  <c r="AJ36" i="1"/>
  <c r="AL36" i="1"/>
  <c r="O305" i="159" s="1"/>
  <c r="AJ15" i="1"/>
  <c r="AL15" i="1"/>
  <c r="O280" i="159" s="1"/>
  <c r="AJ41" i="1"/>
  <c r="AL41" i="1"/>
  <c r="O153" i="159" s="1"/>
  <c r="AK15" i="1"/>
  <c r="AM15" i="1"/>
  <c r="N280" i="159" s="1"/>
  <c r="AK10" i="1"/>
  <c r="AM10" i="1"/>
  <c r="N329" i="159" s="1"/>
  <c r="AK346" i="1" l="1"/>
  <c r="AA346" i="1" s="1"/>
  <c r="R404" i="159"/>
  <c r="AK316" i="1"/>
  <c r="AA316" i="1" s="1"/>
  <c r="AM152" i="1"/>
  <c r="N220" i="159" s="1"/>
  <c r="AM276" i="1"/>
  <c r="N281" i="159" s="1"/>
  <c r="AM190" i="1"/>
  <c r="N93" i="159" s="1"/>
  <c r="R209" i="159"/>
  <c r="AK354" i="1"/>
  <c r="AA354" i="1" s="1"/>
  <c r="AM352" i="1"/>
  <c r="N72" i="159" s="1"/>
  <c r="R26" i="159"/>
  <c r="R171" i="159"/>
  <c r="AK134" i="1"/>
  <c r="AA134" i="1" s="1"/>
  <c r="AK359" i="1"/>
  <c r="AA359" i="1" s="1"/>
  <c r="AK294" i="1"/>
  <c r="AA294" i="1" s="1"/>
  <c r="AM403" i="1"/>
  <c r="N187" i="159" s="1"/>
  <c r="R47" i="159"/>
  <c r="R407" i="159"/>
  <c r="AM343" i="1"/>
  <c r="N313" i="159" s="1"/>
  <c r="AK245" i="1"/>
  <c r="AA245" i="1" s="1"/>
  <c r="AM177" i="1"/>
  <c r="N96" i="159" s="1"/>
  <c r="AM142" i="1"/>
  <c r="N223" i="159" s="1"/>
  <c r="AM245" i="1"/>
  <c r="N116" i="159" s="1"/>
  <c r="AK161" i="1"/>
  <c r="AA161" i="1" s="1"/>
  <c r="AM359" i="1"/>
  <c r="N202" i="159" s="1"/>
  <c r="AK253" i="1"/>
  <c r="AA253" i="1" s="1"/>
  <c r="AM294" i="1"/>
  <c r="N300" i="159" s="1"/>
  <c r="S300" i="159" s="1"/>
  <c r="AM257" i="1"/>
  <c r="N325" i="159" s="1"/>
  <c r="S325" i="159" s="1"/>
  <c r="AM412" i="1"/>
  <c r="N279" i="159" s="1"/>
  <c r="AK97" i="1"/>
  <c r="AA97" i="1" s="1"/>
  <c r="AM253" i="1"/>
  <c r="N324" i="159" s="1"/>
  <c r="AM57" i="1"/>
  <c r="N311" i="159" s="1"/>
  <c r="AK87" i="1"/>
  <c r="AA87" i="1" s="1"/>
  <c r="AK392" i="1"/>
  <c r="AA392" i="1" s="1"/>
  <c r="AK175" i="1"/>
  <c r="AA175" i="1" s="1"/>
  <c r="AK118" i="1"/>
  <c r="AA118" i="1" s="1"/>
  <c r="AK412" i="1"/>
  <c r="AA412" i="1" s="1"/>
  <c r="AM97" i="1"/>
  <c r="N97" i="159" s="1"/>
  <c r="S97" i="159" s="1"/>
  <c r="AK57" i="1"/>
  <c r="AA57" i="1" s="1"/>
  <c r="AM87" i="1"/>
  <c r="N152" i="159" s="1"/>
  <c r="R152" i="159" s="1"/>
  <c r="AK367" i="1"/>
  <c r="AA367" i="1" s="1"/>
  <c r="AK101" i="1"/>
  <c r="AA101" i="1" s="1"/>
  <c r="AK257" i="1"/>
  <c r="AA257" i="1" s="1"/>
  <c r="AM118" i="1"/>
  <c r="N13" i="159" s="1"/>
  <c r="AM367" i="1"/>
  <c r="N355" i="159" s="1"/>
  <c r="R355" i="159" s="1"/>
  <c r="AM93" i="1"/>
  <c r="N357" i="159" s="1"/>
  <c r="R357" i="159" s="1"/>
  <c r="AK218" i="1"/>
  <c r="AA218" i="1" s="1"/>
  <c r="AK142" i="1"/>
  <c r="AA142" i="1" s="1"/>
  <c r="AM161" i="1"/>
  <c r="N183" i="159" s="1"/>
  <c r="AK400" i="1"/>
  <c r="AA400" i="1" s="1"/>
  <c r="AK358" i="1"/>
  <c r="AA358" i="1" s="1"/>
  <c r="AK70" i="1"/>
  <c r="AA70" i="1" s="1"/>
  <c r="AM218" i="1"/>
  <c r="N314" i="159" s="1"/>
  <c r="S314" i="159" s="1"/>
  <c r="AK67" i="1"/>
  <c r="AA67" i="1" s="1"/>
  <c r="AM400" i="1"/>
  <c r="AM358" i="1"/>
  <c r="N259" i="159" s="1"/>
  <c r="AM70" i="1"/>
  <c r="N233" i="159" s="1"/>
  <c r="AK35" i="1"/>
  <c r="AK349" i="1"/>
  <c r="AA349" i="1" s="1"/>
  <c r="AM145" i="1"/>
  <c r="N184" i="159" s="1"/>
  <c r="AK163" i="1"/>
  <c r="AA163" i="1" s="1"/>
  <c r="AK55" i="1"/>
  <c r="AA55" i="1" s="1"/>
  <c r="AK89" i="1"/>
  <c r="AA89" i="1" s="1"/>
  <c r="AM349" i="1"/>
  <c r="N192" i="159" s="1"/>
  <c r="AM163" i="1"/>
  <c r="N349" i="159" s="1"/>
  <c r="AM106" i="1"/>
  <c r="N198" i="159" s="1"/>
  <c r="S198" i="159" s="1"/>
  <c r="R139" i="159"/>
  <c r="AM55" i="1"/>
  <c r="N122" i="159" s="1"/>
  <c r="S122" i="159" s="1"/>
  <c r="AM89" i="1"/>
  <c r="N284" i="159" s="1"/>
  <c r="AK334" i="1"/>
  <c r="AA334" i="1" s="1"/>
  <c r="AK92" i="1"/>
  <c r="AA92" i="1" s="1"/>
  <c r="AM254" i="1"/>
  <c r="N283" i="159" s="1"/>
  <c r="AK106" i="1"/>
  <c r="AA106" i="1" s="1"/>
  <c r="AM334" i="1"/>
  <c r="N268" i="159" s="1"/>
  <c r="AK223" i="1"/>
  <c r="AA223" i="1" s="1"/>
  <c r="AK254" i="1"/>
  <c r="AA254" i="1" s="1"/>
  <c r="AK351" i="1"/>
  <c r="AA351" i="1" s="1"/>
  <c r="R35" i="159"/>
  <c r="R166" i="159"/>
  <c r="AM223" i="1"/>
  <c r="N273" i="159" s="1"/>
  <c r="AK239" i="1"/>
  <c r="AA239" i="1" s="1"/>
  <c r="AM147" i="1"/>
  <c r="N195" i="159" s="1"/>
  <c r="AK369" i="1"/>
  <c r="AA369" i="1" s="1"/>
  <c r="AK241" i="1"/>
  <c r="AA241" i="1" s="1"/>
  <c r="AK100" i="1"/>
  <c r="AA100" i="1" s="1"/>
  <c r="AK96" i="1"/>
  <c r="AA96" i="1" s="1"/>
  <c r="AK147" i="1"/>
  <c r="AA147" i="1" s="1"/>
  <c r="AK379" i="1"/>
  <c r="AA379" i="1" s="1"/>
  <c r="AM369" i="1"/>
  <c r="N350" i="159" s="1"/>
  <c r="S350" i="159" s="1"/>
  <c r="AM241" i="1"/>
  <c r="N321" i="159" s="1"/>
  <c r="AM100" i="1"/>
  <c r="N133" i="159" s="1"/>
  <c r="AM96" i="1"/>
  <c r="N128" i="159" s="1"/>
  <c r="AK357" i="1"/>
  <c r="AA357" i="1" s="1"/>
  <c r="AK187" i="1"/>
  <c r="AA187" i="1" s="1"/>
  <c r="AM22" i="1"/>
  <c r="N145" i="159" s="1"/>
  <c r="R145" i="159" s="1"/>
  <c r="AK14" i="1"/>
  <c r="AK146" i="1"/>
  <c r="AA146" i="1" s="1"/>
  <c r="AK344" i="1"/>
  <c r="AA344" i="1" s="1"/>
  <c r="AK368" i="1"/>
  <c r="AA368" i="1" s="1"/>
  <c r="AM65" i="1"/>
  <c r="N147" i="159" s="1"/>
  <c r="AM368" i="1"/>
  <c r="N360" i="159" s="1"/>
  <c r="R46" i="159"/>
  <c r="AK65" i="1"/>
  <c r="AA65" i="1" s="1"/>
  <c r="AK370" i="1"/>
  <c r="AA370" i="1" s="1"/>
  <c r="AM370" i="1"/>
  <c r="N364" i="159" s="1"/>
  <c r="AK225" i="1"/>
  <c r="AA225" i="1" s="1"/>
  <c r="R395" i="159"/>
  <c r="AK151" i="1"/>
  <c r="AA151" i="1" s="1"/>
  <c r="AM225" i="1"/>
  <c r="N111" i="159" s="1"/>
  <c r="R111" i="159" s="1"/>
  <c r="AK91" i="1"/>
  <c r="AA91" i="1" s="1"/>
  <c r="AK389" i="1"/>
  <c r="AA389" i="1" s="1"/>
  <c r="AM151" i="1"/>
  <c r="N182" i="159" s="1"/>
  <c r="AM342" i="1"/>
  <c r="N351" i="159" s="1"/>
  <c r="AK306" i="1"/>
  <c r="AA306" i="1" s="1"/>
  <c r="AM385" i="1"/>
  <c r="N366" i="159" s="1"/>
  <c r="AK372" i="1"/>
  <c r="AA372" i="1" s="1"/>
  <c r="AM390" i="1"/>
  <c r="N222" i="159" s="1"/>
  <c r="S222" i="159" s="1"/>
  <c r="AK318" i="1"/>
  <c r="AA318" i="1" s="1"/>
  <c r="AM91" i="1"/>
  <c r="N376" i="159" s="1"/>
  <c r="S376" i="159" s="1"/>
  <c r="AM389" i="1"/>
  <c r="N226" i="159" s="1"/>
  <c r="AM306" i="1"/>
  <c r="N76" i="159" s="1"/>
  <c r="AK385" i="1"/>
  <c r="AA385" i="1" s="1"/>
  <c r="AM372" i="1"/>
  <c r="N367" i="159" s="1"/>
  <c r="AK390" i="1"/>
  <c r="AA390" i="1" s="1"/>
  <c r="AM318" i="1"/>
  <c r="AK94" i="1"/>
  <c r="AA94" i="1" s="1"/>
  <c r="S402" i="159"/>
  <c r="AM345" i="1"/>
  <c r="N359" i="159" s="1"/>
  <c r="R43" i="159"/>
  <c r="AM104" i="1"/>
  <c r="N365" i="159" s="1"/>
  <c r="AM90" i="1"/>
  <c r="N378" i="159" s="1"/>
  <c r="S378" i="159" s="1"/>
  <c r="AK56" i="1"/>
  <c r="AA56" i="1" s="1"/>
  <c r="AK66" i="1"/>
  <c r="AA66" i="1" s="1"/>
  <c r="R58" i="159"/>
  <c r="AK301" i="1"/>
  <c r="AA301" i="1" s="1"/>
  <c r="AK314" i="1"/>
  <c r="AA314" i="1" s="1"/>
  <c r="AK167" i="1"/>
  <c r="AA167" i="1" s="1"/>
  <c r="AM301" i="1"/>
  <c r="N333" i="159" s="1"/>
  <c r="S333" i="159" s="1"/>
  <c r="AM314" i="1"/>
  <c r="N151" i="159" s="1"/>
  <c r="S151" i="159" s="1"/>
  <c r="AM56" i="1"/>
  <c r="N94" i="159" s="1"/>
  <c r="S94" i="159" s="1"/>
  <c r="AK104" i="1"/>
  <c r="AA104" i="1" s="1"/>
  <c r="AK90" i="1"/>
  <c r="AA90" i="1" s="1"/>
  <c r="AK308" i="1"/>
  <c r="AA308" i="1" s="1"/>
  <c r="S64" i="159"/>
  <c r="AM398" i="1"/>
  <c r="N176" i="159" s="1"/>
  <c r="S176" i="159" s="1"/>
  <c r="AM115" i="1"/>
  <c r="N20" i="159" s="1"/>
  <c r="S20" i="159" s="1"/>
  <c r="AK310" i="1"/>
  <c r="AA310" i="1" s="1"/>
  <c r="AK398" i="1"/>
  <c r="AA398" i="1" s="1"/>
  <c r="AK115" i="1"/>
  <c r="AA115" i="1" s="1"/>
  <c r="AM310" i="1"/>
  <c r="N17" i="159" s="1"/>
  <c r="AM391" i="1"/>
  <c r="N232" i="159" s="1"/>
  <c r="S232" i="159" s="1"/>
  <c r="AK391" i="1"/>
  <c r="AA391" i="1" s="1"/>
  <c r="AK278" i="1"/>
  <c r="AA278" i="1" s="1"/>
  <c r="AM101" i="1"/>
  <c r="N102" i="159" s="1"/>
  <c r="S102" i="159" s="1"/>
  <c r="AK331" i="1"/>
  <c r="AA331" i="1" s="1"/>
  <c r="AM331" i="1"/>
  <c r="N23" i="159" s="1"/>
  <c r="AM66" i="1"/>
  <c r="N174" i="159" s="1"/>
  <c r="AK320" i="1"/>
  <c r="AA320" i="1" s="1"/>
  <c r="AM379" i="1"/>
  <c r="N148" i="159" s="1"/>
  <c r="S148" i="159" s="1"/>
  <c r="R59" i="159"/>
  <c r="AK169" i="1"/>
  <c r="AA169" i="1" s="1"/>
  <c r="AM333" i="1"/>
  <c r="N100" i="159" s="1"/>
  <c r="S100" i="159" s="1"/>
  <c r="AM173" i="1"/>
  <c r="N337" i="159" s="1"/>
  <c r="AM320" i="1"/>
  <c r="N14" i="159" s="1"/>
  <c r="P14" i="159" s="1"/>
  <c r="AN320" i="1" s="1"/>
  <c r="AM226" i="1"/>
  <c r="N129" i="159" s="1"/>
  <c r="S129" i="159" s="1"/>
  <c r="R409" i="159"/>
  <c r="AK226" i="1"/>
  <c r="AA226" i="1" s="1"/>
  <c r="R405" i="159"/>
  <c r="S53" i="159"/>
  <c r="AK173" i="1"/>
  <c r="AA173" i="1" s="1"/>
  <c r="AK138" i="1"/>
  <c r="AA138" i="1" s="1"/>
  <c r="AK333" i="1"/>
  <c r="AA333" i="1" s="1"/>
  <c r="AK396" i="1"/>
  <c r="AA396" i="1" s="1"/>
  <c r="AM396" i="1"/>
  <c r="N173" i="159" s="1"/>
  <c r="S173" i="159" s="1"/>
  <c r="AK311" i="1"/>
  <c r="AA311" i="1" s="1"/>
  <c r="AM311" i="1"/>
  <c r="N143" i="159" s="1"/>
  <c r="S394" i="159"/>
  <c r="S33" i="159"/>
  <c r="R42" i="159"/>
  <c r="AK307" i="1"/>
  <c r="AA307" i="1" s="1"/>
  <c r="AK404" i="1"/>
  <c r="AA404" i="1" s="1"/>
  <c r="AM307" i="1"/>
  <c r="AK304" i="1"/>
  <c r="AA304" i="1" s="1"/>
  <c r="AM24" i="1"/>
  <c r="N142" i="159" s="1"/>
  <c r="S142" i="159" s="1"/>
  <c r="AM404" i="1"/>
  <c r="N175" i="159" s="1"/>
  <c r="R175" i="159" s="1"/>
  <c r="N57" i="71"/>
  <c r="U70" i="159"/>
  <c r="T70" i="159"/>
  <c r="T128" i="159"/>
  <c r="U128" i="159"/>
  <c r="T312" i="159"/>
  <c r="U312" i="159"/>
  <c r="U73" i="159"/>
  <c r="T73" i="159"/>
  <c r="U235" i="159"/>
  <c r="T235" i="159"/>
  <c r="T74" i="159"/>
  <c r="U74" i="159"/>
  <c r="T72" i="159"/>
  <c r="U72" i="159"/>
  <c r="P41" i="159"/>
  <c r="AN373" i="1" s="1"/>
  <c r="U41" i="159"/>
  <c r="T41" i="159"/>
  <c r="T287" i="159"/>
  <c r="U287" i="159"/>
  <c r="U195" i="159"/>
  <c r="T195" i="159"/>
  <c r="T101" i="159"/>
  <c r="U101" i="159"/>
  <c r="T223" i="159"/>
  <c r="U223" i="159"/>
  <c r="P54" i="159"/>
  <c r="AN108" i="1" s="1"/>
  <c r="U54" i="159"/>
  <c r="T54" i="159"/>
  <c r="T143" i="159"/>
  <c r="U143" i="159"/>
  <c r="T8" i="159"/>
  <c r="U8" i="159"/>
  <c r="U196" i="159"/>
  <c r="T196" i="159"/>
  <c r="U11" i="159"/>
  <c r="T11" i="159"/>
  <c r="U94" i="159"/>
  <c r="T94" i="159"/>
  <c r="U218" i="159"/>
  <c r="T218" i="159"/>
  <c r="P44" i="159"/>
  <c r="AN148" i="1" s="1"/>
  <c r="U44" i="159"/>
  <c r="T44" i="159"/>
  <c r="U285" i="159"/>
  <c r="T285" i="159"/>
  <c r="U310" i="159"/>
  <c r="T310" i="159"/>
  <c r="T156" i="159"/>
  <c r="U156" i="159"/>
  <c r="U93" i="159"/>
  <c r="T93" i="159"/>
  <c r="T24" i="159"/>
  <c r="U24" i="159"/>
  <c r="U216" i="159"/>
  <c r="T216" i="159"/>
  <c r="T40" i="159"/>
  <c r="U40" i="159"/>
  <c r="U258" i="159"/>
  <c r="T258" i="159"/>
  <c r="U307" i="159"/>
  <c r="T307" i="159"/>
  <c r="S107" i="159"/>
  <c r="R107" i="159"/>
  <c r="S194" i="159"/>
  <c r="R194" i="159"/>
  <c r="S275" i="159"/>
  <c r="R275" i="159"/>
  <c r="S13" i="159"/>
  <c r="R13" i="159"/>
  <c r="S98" i="159"/>
  <c r="R98" i="159"/>
  <c r="R369" i="159"/>
  <c r="S369" i="159"/>
  <c r="S187" i="159"/>
  <c r="R187" i="159"/>
  <c r="S268" i="159"/>
  <c r="R268" i="159"/>
  <c r="S74" i="159"/>
  <c r="R74" i="159"/>
  <c r="S120" i="159"/>
  <c r="R120" i="159"/>
  <c r="S296" i="159"/>
  <c r="R296" i="159"/>
  <c r="R97" i="159"/>
  <c r="S354" i="159"/>
  <c r="R354" i="159"/>
  <c r="S269" i="159"/>
  <c r="R269" i="159"/>
  <c r="S266" i="159"/>
  <c r="R266" i="159"/>
  <c r="S17" i="159"/>
  <c r="R17" i="159"/>
  <c r="S218" i="159"/>
  <c r="R218" i="159"/>
  <c r="S96" i="159"/>
  <c r="R96" i="159"/>
  <c r="S272" i="159"/>
  <c r="R272" i="159"/>
  <c r="S152" i="159"/>
  <c r="S348" i="159"/>
  <c r="R348" i="159"/>
  <c r="S202" i="159"/>
  <c r="R202" i="159"/>
  <c r="R287" i="159"/>
  <c r="S287" i="159"/>
  <c r="S10" i="159"/>
  <c r="R10" i="159"/>
  <c r="S132" i="159"/>
  <c r="R132" i="159"/>
  <c r="S286" i="159"/>
  <c r="R286" i="159"/>
  <c r="S308" i="159"/>
  <c r="R308" i="159"/>
  <c r="S126" i="159"/>
  <c r="R126" i="159"/>
  <c r="S360" i="159"/>
  <c r="R360" i="159"/>
  <c r="S145" i="159"/>
  <c r="S230" i="159"/>
  <c r="R230" i="159"/>
  <c r="U28" i="159"/>
  <c r="T28" i="159"/>
  <c r="T393" i="159"/>
  <c r="U393" i="159"/>
  <c r="T269" i="159"/>
  <c r="U269" i="159"/>
  <c r="U411" i="159"/>
  <c r="T411" i="159"/>
  <c r="P241" i="159"/>
  <c r="AN285" i="1" s="1"/>
  <c r="U241" i="159"/>
  <c r="T241" i="159"/>
  <c r="P170" i="159"/>
  <c r="AN261" i="1" s="1"/>
  <c r="U170" i="159"/>
  <c r="T170" i="159"/>
  <c r="T261" i="159"/>
  <c r="U261" i="159"/>
  <c r="U6" i="159"/>
  <c r="T6" i="159"/>
  <c r="U9" i="159"/>
  <c r="T9" i="159"/>
  <c r="U280" i="159"/>
  <c r="T280" i="159"/>
  <c r="S124" i="159"/>
  <c r="R124" i="159"/>
  <c r="S274" i="159"/>
  <c r="R274" i="159"/>
  <c r="T164" i="159"/>
  <c r="U164" i="159"/>
  <c r="S131" i="159"/>
  <c r="R131" i="159"/>
  <c r="S67" i="159"/>
  <c r="R67" i="159"/>
  <c r="S153" i="159"/>
  <c r="R153" i="159"/>
  <c r="P319" i="159"/>
  <c r="AN6" i="1" s="1"/>
  <c r="S319" i="159"/>
  <c r="R319" i="159"/>
  <c r="U319" i="159"/>
  <c r="T319" i="159"/>
  <c r="U266" i="159"/>
  <c r="T266" i="159"/>
  <c r="U69" i="159"/>
  <c r="T69" i="159"/>
  <c r="U387" i="159"/>
  <c r="T387" i="159"/>
  <c r="U318" i="159"/>
  <c r="T318" i="159"/>
  <c r="U290" i="159"/>
  <c r="T290" i="159"/>
  <c r="P406" i="159"/>
  <c r="AN214" i="1" s="1"/>
  <c r="U406" i="159"/>
  <c r="T406" i="159"/>
  <c r="U23" i="159"/>
  <c r="T23" i="159"/>
  <c r="U227" i="159"/>
  <c r="T227" i="159"/>
  <c r="P60" i="159"/>
  <c r="AN313" i="1" s="1"/>
  <c r="U60" i="159"/>
  <c r="T60" i="159"/>
  <c r="U343" i="159"/>
  <c r="T343" i="159"/>
  <c r="T281" i="159"/>
  <c r="U281" i="159"/>
  <c r="U404" i="159"/>
  <c r="T404" i="159"/>
  <c r="T96" i="159"/>
  <c r="U96" i="159"/>
  <c r="T111" i="159"/>
  <c r="U111" i="159"/>
  <c r="P59" i="159"/>
  <c r="AN166" i="1" s="1"/>
  <c r="U59" i="159"/>
  <c r="T59" i="159"/>
  <c r="U140" i="159"/>
  <c r="T140" i="159"/>
  <c r="U401" i="159"/>
  <c r="T401" i="159"/>
  <c r="U316" i="159"/>
  <c r="T316" i="159"/>
  <c r="P159" i="159"/>
  <c r="AN330" i="1" s="1"/>
  <c r="T159" i="159"/>
  <c r="U159" i="159"/>
  <c r="T167" i="159"/>
  <c r="U167" i="159"/>
  <c r="U194" i="159"/>
  <c r="T194" i="159"/>
  <c r="U267" i="159"/>
  <c r="T267" i="159"/>
  <c r="S115" i="159"/>
  <c r="R115" i="159"/>
  <c r="S261" i="159"/>
  <c r="R261" i="159"/>
  <c r="S236" i="159"/>
  <c r="R236" i="159"/>
  <c r="S362" i="159"/>
  <c r="R362" i="159"/>
  <c r="S177" i="159"/>
  <c r="R177" i="159"/>
  <c r="S327" i="159"/>
  <c r="R327" i="159"/>
  <c r="S144" i="159"/>
  <c r="R144" i="159"/>
  <c r="S277" i="159"/>
  <c r="R277" i="159"/>
  <c r="S278" i="159"/>
  <c r="R278" i="159"/>
  <c r="R22" i="159"/>
  <c r="S22" i="159"/>
  <c r="S361" i="159"/>
  <c r="R361" i="159"/>
  <c r="S294" i="159"/>
  <c r="R294" i="159"/>
  <c r="S342" i="159"/>
  <c r="R342" i="159"/>
  <c r="T225" i="159"/>
  <c r="U225" i="159"/>
  <c r="T284" i="159"/>
  <c r="U284" i="159"/>
  <c r="U66" i="159"/>
  <c r="T66" i="159"/>
  <c r="U15" i="159"/>
  <c r="T15" i="159"/>
  <c r="U43" i="159"/>
  <c r="T43" i="159"/>
  <c r="U16" i="159"/>
  <c r="T16" i="159"/>
  <c r="T309" i="159"/>
  <c r="U309" i="159"/>
  <c r="P388" i="159"/>
  <c r="AN174" i="1" s="1"/>
  <c r="U388" i="159"/>
  <c r="T388" i="159"/>
  <c r="U108" i="159"/>
  <c r="T108" i="159"/>
  <c r="U95" i="159"/>
  <c r="T95" i="159"/>
  <c r="U39" i="159"/>
  <c r="T39" i="159"/>
  <c r="U29" i="159"/>
  <c r="T29" i="159"/>
  <c r="U306" i="159"/>
  <c r="T306" i="159"/>
  <c r="T197" i="159"/>
  <c r="U197" i="159"/>
  <c r="P87" i="159"/>
  <c r="AN224" i="1" s="1"/>
  <c r="U87" i="159"/>
  <c r="T87" i="159"/>
  <c r="T151" i="159"/>
  <c r="U151" i="159"/>
  <c r="U177" i="159"/>
  <c r="T177" i="159"/>
  <c r="T172" i="159"/>
  <c r="U172" i="159"/>
  <c r="U135" i="159"/>
  <c r="T135" i="159"/>
  <c r="T220" i="159"/>
  <c r="U220" i="159"/>
  <c r="U301" i="159"/>
  <c r="T301" i="159"/>
  <c r="P243" i="159"/>
  <c r="AN394" i="1" s="1"/>
  <c r="U243" i="159"/>
  <c r="T243" i="159"/>
  <c r="U38" i="159"/>
  <c r="T38" i="159"/>
  <c r="T273" i="159"/>
  <c r="U273" i="159"/>
  <c r="T192" i="159"/>
  <c r="U192" i="159"/>
  <c r="P171" i="159"/>
  <c r="AN281" i="1" s="1"/>
  <c r="U171" i="159"/>
  <c r="T171" i="159"/>
  <c r="U183" i="159"/>
  <c r="T183" i="159"/>
  <c r="U302" i="159"/>
  <c r="T302" i="159"/>
  <c r="U97" i="159"/>
  <c r="T97" i="159"/>
  <c r="T116" i="159"/>
  <c r="U116" i="159"/>
  <c r="U27" i="159"/>
  <c r="T27" i="159"/>
  <c r="U222" i="159"/>
  <c r="T222" i="159"/>
  <c r="P52" i="159"/>
  <c r="AN156" i="1" s="1"/>
  <c r="U52" i="159"/>
  <c r="T52" i="159"/>
  <c r="S321" i="159"/>
  <c r="R321" i="159"/>
  <c r="S228" i="159"/>
  <c r="R228" i="159"/>
  <c r="S95" i="159"/>
  <c r="R95" i="159"/>
  <c r="S372" i="159"/>
  <c r="R372" i="159"/>
  <c r="S199" i="159"/>
  <c r="R199" i="159"/>
  <c r="S284" i="159"/>
  <c r="R284" i="159"/>
  <c r="S337" i="159"/>
  <c r="R337" i="159"/>
  <c r="S23" i="159"/>
  <c r="R23" i="159"/>
  <c r="S112" i="159"/>
  <c r="R112" i="159"/>
  <c r="S364" i="159"/>
  <c r="R364" i="159"/>
  <c r="S298" i="159"/>
  <c r="R298" i="159"/>
  <c r="S323" i="159"/>
  <c r="R323" i="159"/>
  <c r="S229" i="159"/>
  <c r="R229" i="159"/>
  <c r="S111" i="159"/>
  <c r="S368" i="159"/>
  <c r="R368" i="159"/>
  <c r="S184" i="159"/>
  <c r="R184" i="159"/>
  <c r="S270" i="159"/>
  <c r="R270" i="159"/>
  <c r="S260" i="159"/>
  <c r="R260" i="159"/>
  <c r="S186" i="159"/>
  <c r="R186" i="159"/>
  <c r="S302" i="159"/>
  <c r="R302" i="159"/>
  <c r="S11" i="159"/>
  <c r="R11" i="159"/>
  <c r="S134" i="159"/>
  <c r="R134" i="159"/>
  <c r="R367" i="159"/>
  <c r="S367" i="159"/>
  <c r="S190" i="159"/>
  <c r="R190" i="159"/>
  <c r="S285" i="159"/>
  <c r="R285" i="159"/>
  <c r="S121" i="159"/>
  <c r="R121" i="159"/>
  <c r="S355" i="159"/>
  <c r="S118" i="159"/>
  <c r="R118" i="159"/>
  <c r="S196" i="159"/>
  <c r="R196" i="159"/>
  <c r="S263" i="159"/>
  <c r="R263" i="159"/>
  <c r="S231" i="159"/>
  <c r="R231" i="159"/>
  <c r="S127" i="159"/>
  <c r="R127" i="159"/>
  <c r="S356" i="159"/>
  <c r="R356" i="159"/>
  <c r="S185" i="159"/>
  <c r="R185" i="159"/>
  <c r="S338" i="159"/>
  <c r="R338" i="159"/>
  <c r="V68" i="159"/>
  <c r="Q68" i="159"/>
  <c r="AO131" i="1" s="1"/>
  <c r="U36" i="159"/>
  <c r="T36" i="159"/>
  <c r="T137" i="159"/>
  <c r="U137" i="159"/>
  <c r="U291" i="159"/>
  <c r="T291" i="159"/>
  <c r="U174" i="159"/>
  <c r="T174" i="159"/>
  <c r="U110" i="159"/>
  <c r="T110" i="159"/>
  <c r="T344" i="159"/>
  <c r="U344" i="159"/>
  <c r="T133" i="159"/>
  <c r="U133" i="159"/>
  <c r="S380" i="159"/>
  <c r="R380" i="159"/>
  <c r="S262" i="159"/>
  <c r="R262" i="159"/>
  <c r="S70" i="159"/>
  <c r="R70" i="159"/>
  <c r="S336" i="159"/>
  <c r="R336" i="159"/>
  <c r="S303" i="159"/>
  <c r="R303" i="159"/>
  <c r="U198" i="159"/>
  <c r="T198" i="159"/>
  <c r="P249" i="159"/>
  <c r="AN382" i="1" s="1"/>
  <c r="U249" i="159"/>
  <c r="T249" i="159"/>
  <c r="P163" i="159"/>
  <c r="AN76" i="1" s="1"/>
  <c r="U163" i="159"/>
  <c r="T163" i="159"/>
  <c r="T295" i="159"/>
  <c r="U295" i="159"/>
  <c r="U185" i="159"/>
  <c r="T185" i="159"/>
  <c r="P37" i="159"/>
  <c r="AN172" i="1" s="1"/>
  <c r="T37" i="159"/>
  <c r="U37" i="159"/>
  <c r="T106" i="159"/>
  <c r="U106" i="159"/>
  <c r="T228" i="159"/>
  <c r="U228" i="159"/>
  <c r="T53" i="159"/>
  <c r="U53" i="159"/>
  <c r="P89" i="159"/>
  <c r="AN408" i="1" s="1"/>
  <c r="U89" i="159"/>
  <c r="T89" i="159"/>
  <c r="P407" i="159"/>
  <c r="AN219" i="1" s="1"/>
  <c r="U407" i="159"/>
  <c r="T407" i="159"/>
  <c r="P45" i="159"/>
  <c r="AN361" i="1" s="1"/>
  <c r="T45" i="159"/>
  <c r="U45" i="159"/>
  <c r="U341" i="159"/>
  <c r="T341" i="159"/>
  <c r="T193" i="159"/>
  <c r="U193" i="159"/>
  <c r="U103" i="159"/>
  <c r="T103" i="159"/>
  <c r="T232" i="159"/>
  <c r="U232" i="159"/>
  <c r="T296" i="159"/>
  <c r="U296" i="159"/>
  <c r="U408" i="159"/>
  <c r="T408" i="159"/>
  <c r="U114" i="159"/>
  <c r="T114" i="159"/>
  <c r="P252" i="159"/>
  <c r="AN68" i="1" s="1"/>
  <c r="T252" i="159"/>
  <c r="U252" i="159"/>
  <c r="U260" i="159"/>
  <c r="T260" i="159"/>
  <c r="S329" i="159"/>
  <c r="R329" i="159"/>
  <c r="U305" i="159"/>
  <c r="T305" i="159"/>
  <c r="S282" i="159"/>
  <c r="R282" i="159"/>
  <c r="S309" i="159"/>
  <c r="R309" i="159"/>
  <c r="U304" i="159"/>
  <c r="T304" i="159"/>
  <c r="S181" i="159"/>
  <c r="R181" i="159"/>
  <c r="S371" i="159"/>
  <c r="R371" i="159"/>
  <c r="S328" i="159"/>
  <c r="R328" i="159"/>
  <c r="T124" i="159"/>
  <c r="U124" i="159"/>
  <c r="U19" i="159"/>
  <c r="T19" i="159"/>
  <c r="S288" i="159"/>
  <c r="R288" i="159"/>
  <c r="U46" i="159"/>
  <c r="T46" i="159"/>
  <c r="U255" i="159"/>
  <c r="T255" i="159"/>
  <c r="U105" i="159"/>
  <c r="T105" i="159"/>
  <c r="T236" i="159"/>
  <c r="U236" i="159"/>
  <c r="U315" i="159"/>
  <c r="T315" i="159"/>
  <c r="U233" i="159"/>
  <c r="T233" i="159"/>
  <c r="P35" i="159"/>
  <c r="AN155" i="1" s="1"/>
  <c r="U35" i="159"/>
  <c r="T35" i="159"/>
  <c r="U146" i="159"/>
  <c r="T146" i="159"/>
  <c r="U283" i="159"/>
  <c r="T283" i="159"/>
  <c r="T10" i="159"/>
  <c r="U10" i="159"/>
  <c r="U71" i="159"/>
  <c r="T71" i="159"/>
  <c r="P63" i="159"/>
  <c r="AN184" i="1" s="1"/>
  <c r="U63" i="159"/>
  <c r="T63" i="159"/>
  <c r="U127" i="159"/>
  <c r="T127" i="159"/>
  <c r="U144" i="159"/>
  <c r="T144" i="159"/>
  <c r="U379" i="159"/>
  <c r="T379" i="159"/>
  <c r="U132" i="159"/>
  <c r="T132" i="159"/>
  <c r="P25" i="159"/>
  <c r="AN60" i="1" s="1"/>
  <c r="U25" i="159"/>
  <c r="T25" i="159"/>
  <c r="P58" i="159"/>
  <c r="AN298" i="1" s="1"/>
  <c r="U58" i="159"/>
  <c r="T58" i="159"/>
  <c r="P250" i="159"/>
  <c r="AN246" i="1" s="1"/>
  <c r="U250" i="159"/>
  <c r="T250" i="159"/>
  <c r="S188" i="159"/>
  <c r="R188" i="159"/>
  <c r="S75" i="159"/>
  <c r="R75" i="159"/>
  <c r="S352" i="159"/>
  <c r="R352" i="159"/>
  <c r="S234" i="159"/>
  <c r="R234" i="159"/>
  <c r="S178" i="159"/>
  <c r="R178" i="159"/>
  <c r="S365" i="159"/>
  <c r="R365" i="159"/>
  <c r="S311" i="159"/>
  <c r="R311" i="159"/>
  <c r="S258" i="159"/>
  <c r="R258" i="159"/>
  <c r="S108" i="159"/>
  <c r="R108" i="159"/>
  <c r="S347" i="159"/>
  <c r="R347" i="159"/>
  <c r="S146" i="159"/>
  <c r="R146" i="159"/>
  <c r="S353" i="159"/>
  <c r="R353" i="159"/>
  <c r="S283" i="159"/>
  <c r="R283" i="159"/>
  <c r="S335" i="159"/>
  <c r="R335" i="159"/>
  <c r="T168" i="159"/>
  <c r="U168" i="159"/>
  <c r="P399" i="159"/>
  <c r="AN176" i="1" s="1"/>
  <c r="T399" i="159"/>
  <c r="U399" i="159"/>
  <c r="U107" i="159"/>
  <c r="T107" i="159"/>
  <c r="U113" i="159"/>
  <c r="T113" i="159"/>
  <c r="U311" i="159"/>
  <c r="T311" i="159"/>
  <c r="P403" i="159"/>
  <c r="AN208" i="1" s="1"/>
  <c r="U403" i="159"/>
  <c r="T403" i="159"/>
  <c r="U190" i="159"/>
  <c r="T190" i="159"/>
  <c r="U126" i="159"/>
  <c r="T126" i="159"/>
  <c r="U30" i="159"/>
  <c r="T30" i="159"/>
  <c r="P48" i="159"/>
  <c r="AN364" i="1" s="1"/>
  <c r="T48" i="159"/>
  <c r="U48" i="159"/>
  <c r="U278" i="159"/>
  <c r="T278" i="159"/>
  <c r="U313" i="159"/>
  <c r="T313" i="159"/>
  <c r="P390" i="159"/>
  <c r="AN181" i="1" s="1"/>
  <c r="U390" i="159"/>
  <c r="T390" i="159"/>
  <c r="U204" i="159"/>
  <c r="T204" i="159"/>
  <c r="U134" i="159"/>
  <c r="T134" i="159"/>
  <c r="P49" i="159"/>
  <c r="AN62" i="1" s="1"/>
  <c r="T49" i="159"/>
  <c r="U49" i="159"/>
  <c r="U386" i="159"/>
  <c r="T386" i="159"/>
  <c r="U186" i="159"/>
  <c r="T186" i="159"/>
  <c r="T98" i="159"/>
  <c r="U98" i="159"/>
  <c r="P90" i="159"/>
  <c r="AN133" i="1" s="1"/>
  <c r="T90" i="159"/>
  <c r="U90" i="159"/>
  <c r="U229" i="159"/>
  <c r="T229" i="159"/>
  <c r="P61" i="159"/>
  <c r="AN85" i="1" s="1"/>
  <c r="U61" i="159"/>
  <c r="T61" i="159"/>
  <c r="U152" i="159"/>
  <c r="T152" i="159"/>
  <c r="T257" i="159"/>
  <c r="U257" i="159"/>
  <c r="P409" i="159"/>
  <c r="AN204" i="1" s="1"/>
  <c r="U409" i="159"/>
  <c r="T409" i="159"/>
  <c r="U20" i="159"/>
  <c r="T20" i="159"/>
  <c r="T125" i="159"/>
  <c r="U125" i="159"/>
  <c r="P248" i="159"/>
  <c r="AN327" i="1" s="1"/>
  <c r="T248" i="159"/>
  <c r="U248" i="159"/>
  <c r="P62" i="159"/>
  <c r="AN80" i="1" s="1"/>
  <c r="U62" i="159"/>
  <c r="T62" i="159"/>
  <c r="U308" i="159"/>
  <c r="T308" i="159"/>
  <c r="T279" i="159"/>
  <c r="U279" i="159"/>
  <c r="P402" i="159"/>
  <c r="AN212" i="1" s="1"/>
  <c r="U402" i="159"/>
  <c r="T402" i="159"/>
  <c r="T18" i="159"/>
  <c r="U18" i="159"/>
  <c r="U76" i="159"/>
  <c r="T76" i="159"/>
  <c r="P246" i="159"/>
  <c r="AN395" i="1" s="1"/>
  <c r="U246" i="159"/>
  <c r="T246" i="159"/>
  <c r="P47" i="159"/>
  <c r="AN192" i="1" s="1"/>
  <c r="U47" i="159"/>
  <c r="T47" i="159"/>
  <c r="U294" i="159"/>
  <c r="T294" i="159"/>
  <c r="P398" i="159"/>
  <c r="AN178" i="1" s="1"/>
  <c r="U398" i="159"/>
  <c r="T398" i="159"/>
  <c r="U191" i="159"/>
  <c r="T191" i="159"/>
  <c r="T117" i="159"/>
  <c r="U117" i="159"/>
  <c r="P158" i="159"/>
  <c r="AN401" i="1" s="1"/>
  <c r="U158" i="159"/>
  <c r="T158" i="159"/>
  <c r="P165" i="159"/>
  <c r="AN75" i="1" s="1"/>
  <c r="U165" i="159"/>
  <c r="T165" i="159"/>
  <c r="P56" i="159"/>
  <c r="AN238" i="1" s="1"/>
  <c r="U56" i="159"/>
  <c r="T56" i="159"/>
  <c r="U286" i="159"/>
  <c r="T286" i="159"/>
  <c r="S21" i="159"/>
  <c r="R21" i="159"/>
  <c r="S224" i="159"/>
  <c r="R224" i="159"/>
  <c r="S99" i="159"/>
  <c r="R99" i="159"/>
  <c r="S370" i="159"/>
  <c r="R370" i="159"/>
  <c r="S226" i="159"/>
  <c r="R226" i="159"/>
  <c r="S130" i="159"/>
  <c r="R130" i="159"/>
  <c r="S182" i="159"/>
  <c r="R182" i="159"/>
  <c r="S267" i="159"/>
  <c r="R267" i="159"/>
  <c r="S265" i="159"/>
  <c r="R265" i="159"/>
  <c r="S15" i="159"/>
  <c r="R15" i="159"/>
  <c r="S133" i="159"/>
  <c r="R133" i="159"/>
  <c r="S359" i="159"/>
  <c r="R359" i="159"/>
  <c r="S183" i="159"/>
  <c r="R183" i="159"/>
  <c r="S297" i="159"/>
  <c r="R297" i="159"/>
  <c r="S330" i="159"/>
  <c r="R330" i="159"/>
  <c r="S143" i="159"/>
  <c r="R143" i="159"/>
  <c r="S289" i="159"/>
  <c r="R289" i="159"/>
  <c r="S233" i="159"/>
  <c r="R233" i="159"/>
  <c r="S373" i="159"/>
  <c r="R373" i="159"/>
  <c r="S18" i="159"/>
  <c r="R18" i="159"/>
  <c r="S103" i="159"/>
  <c r="R103" i="159"/>
  <c r="S301" i="159"/>
  <c r="R301" i="159"/>
  <c r="S93" i="159"/>
  <c r="R93" i="159"/>
  <c r="S191" i="159"/>
  <c r="R191" i="159"/>
  <c r="S219" i="159"/>
  <c r="R219" i="159"/>
  <c r="S257" i="159"/>
  <c r="R257" i="159"/>
  <c r="S71" i="159"/>
  <c r="R71" i="159"/>
  <c r="T205" i="159"/>
  <c r="U205" i="159"/>
  <c r="T189" i="159"/>
  <c r="U189" i="159"/>
  <c r="P400" i="159"/>
  <c r="AN380" i="1" s="1"/>
  <c r="U400" i="159"/>
  <c r="T400" i="159"/>
  <c r="P160" i="159"/>
  <c r="AN284" i="1" s="1"/>
  <c r="U160" i="159"/>
  <c r="T160" i="159"/>
  <c r="S203" i="159"/>
  <c r="R203" i="159"/>
  <c r="U142" i="159"/>
  <c r="T142" i="159"/>
  <c r="T181" i="159"/>
  <c r="U181" i="159"/>
  <c r="S381" i="159"/>
  <c r="R381" i="159"/>
  <c r="S304" i="159"/>
  <c r="R304" i="159"/>
  <c r="S200" i="159"/>
  <c r="R200" i="159"/>
  <c r="U262" i="159"/>
  <c r="T262" i="159"/>
  <c r="U17" i="159"/>
  <c r="T17" i="159"/>
  <c r="P26" i="159"/>
  <c r="AN339" i="1" s="1"/>
  <c r="T26" i="159"/>
  <c r="U26" i="159"/>
  <c r="P157" i="159"/>
  <c r="AN182" i="1" s="1"/>
  <c r="U157" i="159"/>
  <c r="T157" i="159"/>
  <c r="P251" i="159"/>
  <c r="AN325" i="1" s="1"/>
  <c r="U251" i="159"/>
  <c r="T251" i="159"/>
  <c r="U187" i="159"/>
  <c r="T187" i="159"/>
  <c r="U130" i="159"/>
  <c r="T130" i="159"/>
  <c r="P242" i="159"/>
  <c r="AN328" i="1" s="1"/>
  <c r="U242" i="159"/>
  <c r="T242" i="159"/>
  <c r="T217" i="159"/>
  <c r="U217" i="159"/>
  <c r="T265" i="159"/>
  <c r="U265" i="159"/>
  <c r="T289" i="159"/>
  <c r="U289" i="159"/>
  <c r="U100" i="159"/>
  <c r="T100" i="159"/>
  <c r="U226" i="159"/>
  <c r="T226" i="159"/>
  <c r="U50" i="159"/>
  <c r="T50" i="159"/>
  <c r="U276" i="159"/>
  <c r="T276" i="159"/>
  <c r="T188" i="159"/>
  <c r="U188" i="159"/>
  <c r="U122" i="159"/>
  <c r="T122" i="159"/>
  <c r="T201" i="159"/>
  <c r="U201" i="159"/>
  <c r="P389" i="159"/>
  <c r="AN160" i="1" s="1"/>
  <c r="U389" i="159"/>
  <c r="T389" i="159"/>
  <c r="U199" i="159"/>
  <c r="T199" i="159"/>
  <c r="U119" i="159"/>
  <c r="T119" i="159"/>
  <c r="T244" i="159"/>
  <c r="U244" i="159"/>
  <c r="T34" i="159"/>
  <c r="U34" i="159"/>
  <c r="U21" i="159"/>
  <c r="T21" i="159"/>
  <c r="P42" i="159"/>
  <c r="AN360" i="1" s="1"/>
  <c r="T42" i="159"/>
  <c r="U42" i="159"/>
  <c r="S16" i="159"/>
  <c r="R16" i="159"/>
  <c r="S358" i="159"/>
  <c r="R358" i="159"/>
  <c r="S216" i="159"/>
  <c r="R216" i="159"/>
  <c r="S363" i="159"/>
  <c r="R363" i="159"/>
  <c r="S295" i="159"/>
  <c r="R295" i="159"/>
  <c r="S351" i="159"/>
  <c r="R351" i="159"/>
  <c r="S366" i="159"/>
  <c r="R366" i="159"/>
  <c r="S281" i="159"/>
  <c r="R281" i="159"/>
  <c r="S195" i="159"/>
  <c r="R195" i="159"/>
  <c r="S320" i="159"/>
  <c r="R320" i="159"/>
  <c r="S235" i="159"/>
  <c r="R235" i="159"/>
  <c r="R148" i="159"/>
  <c r="S291" i="159"/>
  <c r="R291" i="159"/>
  <c r="S141" i="159"/>
  <c r="R141" i="159"/>
  <c r="S113" i="159"/>
  <c r="R113" i="159"/>
  <c r="S374" i="159"/>
  <c r="R374" i="159"/>
  <c r="Q345" i="159"/>
  <c r="AO378" i="1" s="1"/>
  <c r="V345" i="159"/>
  <c r="S346" i="159"/>
  <c r="R346" i="159"/>
  <c r="T317" i="159"/>
  <c r="U317" i="159"/>
  <c r="S123" i="159"/>
  <c r="R123" i="159"/>
  <c r="S189" i="159"/>
  <c r="R189" i="159"/>
  <c r="U182" i="159"/>
  <c r="T182" i="159"/>
  <c r="T253" i="159"/>
  <c r="U253" i="159"/>
  <c r="U270" i="159"/>
  <c r="T270" i="159"/>
  <c r="P142" i="159"/>
  <c r="AN24" i="1" s="1"/>
  <c r="P292" i="159"/>
  <c r="AN28" i="1" s="1"/>
  <c r="S292" i="159"/>
  <c r="R292" i="159"/>
  <c r="T200" i="159"/>
  <c r="U200" i="159"/>
  <c r="S164" i="159"/>
  <c r="R164" i="159"/>
  <c r="S180" i="159"/>
  <c r="R180" i="159"/>
  <c r="T396" i="159"/>
  <c r="U396" i="159"/>
  <c r="U118" i="159"/>
  <c r="T118" i="159"/>
  <c r="T231" i="159"/>
  <c r="U231" i="159"/>
  <c r="P57" i="159"/>
  <c r="AN362" i="1" s="1"/>
  <c r="U57" i="159"/>
  <c r="T57" i="159"/>
  <c r="T149" i="159"/>
  <c r="U149" i="159"/>
  <c r="T271" i="159"/>
  <c r="U271" i="159"/>
  <c r="T381" i="159"/>
  <c r="U381" i="159"/>
  <c r="T120" i="159"/>
  <c r="U120" i="159"/>
  <c r="U234" i="159"/>
  <c r="T234" i="159"/>
  <c r="T277" i="159"/>
  <c r="U277" i="159"/>
  <c r="U395" i="159"/>
  <c r="T395" i="159"/>
  <c r="U162" i="159"/>
  <c r="T162" i="159"/>
  <c r="T129" i="159"/>
  <c r="U129" i="159"/>
  <c r="U169" i="159"/>
  <c r="T169" i="159"/>
  <c r="U64" i="159"/>
  <c r="T64" i="159"/>
  <c r="U314" i="159"/>
  <c r="T314" i="159"/>
  <c r="U298" i="159"/>
  <c r="T298" i="159"/>
  <c r="T397" i="159"/>
  <c r="U397" i="159"/>
  <c r="T112" i="159"/>
  <c r="U112" i="159"/>
  <c r="U394" i="159"/>
  <c r="T394" i="159"/>
  <c r="U202" i="159"/>
  <c r="T202" i="159"/>
  <c r="T104" i="159"/>
  <c r="U104" i="159"/>
  <c r="T245" i="159"/>
  <c r="U245" i="159"/>
  <c r="U272" i="159"/>
  <c r="T272" i="159"/>
  <c r="T176" i="159"/>
  <c r="U176" i="159"/>
  <c r="P155" i="159"/>
  <c r="AN329" i="1" s="1"/>
  <c r="U155" i="159"/>
  <c r="T155" i="159"/>
  <c r="U139" i="159"/>
  <c r="T139" i="159"/>
  <c r="U221" i="159"/>
  <c r="T221" i="159"/>
  <c r="T65" i="159"/>
  <c r="U65" i="159"/>
  <c r="U147" i="159"/>
  <c r="T147" i="159"/>
  <c r="U263" i="159"/>
  <c r="T263" i="159"/>
  <c r="T175" i="159"/>
  <c r="U175" i="159"/>
  <c r="P154" i="159"/>
  <c r="AN399" i="1" s="1"/>
  <c r="U154" i="159"/>
  <c r="T154" i="159"/>
  <c r="U115" i="159"/>
  <c r="T115" i="159"/>
  <c r="U138" i="159"/>
  <c r="T138" i="159"/>
  <c r="U224" i="159"/>
  <c r="T224" i="159"/>
  <c r="T33" i="159"/>
  <c r="U33" i="159"/>
  <c r="U148" i="159"/>
  <c r="T148" i="159"/>
  <c r="U268" i="159"/>
  <c r="T268" i="159"/>
  <c r="T161" i="159"/>
  <c r="U161" i="159"/>
  <c r="U13" i="159"/>
  <c r="T13" i="159"/>
  <c r="U99" i="159"/>
  <c r="T99" i="159"/>
  <c r="U405" i="159"/>
  <c r="T405" i="159"/>
  <c r="U102" i="159"/>
  <c r="T102" i="159"/>
  <c r="U75" i="159"/>
  <c r="T75" i="159"/>
  <c r="T256" i="159"/>
  <c r="U256" i="159"/>
  <c r="T141" i="159"/>
  <c r="U141" i="159"/>
  <c r="U259" i="159"/>
  <c r="T259" i="159"/>
  <c r="S149" i="159"/>
  <c r="R149" i="159"/>
  <c r="R119" i="159"/>
  <c r="S119" i="159"/>
  <c r="S290" i="159"/>
  <c r="R290" i="159"/>
  <c r="S276" i="159"/>
  <c r="R276" i="159"/>
  <c r="S114" i="159"/>
  <c r="R114" i="159"/>
  <c r="S192" i="159"/>
  <c r="R192" i="159"/>
  <c r="S334" i="159"/>
  <c r="R334" i="159"/>
  <c r="S174" i="159"/>
  <c r="R174" i="159"/>
  <c r="S150" i="159"/>
  <c r="R150" i="159"/>
  <c r="S116" i="159"/>
  <c r="R116" i="159"/>
  <c r="S204" i="159"/>
  <c r="R204" i="159"/>
  <c r="S273" i="159"/>
  <c r="R273" i="159"/>
  <c r="S76" i="159"/>
  <c r="R76" i="159"/>
  <c r="S227" i="159"/>
  <c r="R227" i="159"/>
  <c r="S128" i="159"/>
  <c r="R128" i="159"/>
  <c r="S135" i="159"/>
  <c r="R135" i="159"/>
  <c r="S264" i="159"/>
  <c r="R264" i="159"/>
  <c r="S259" i="159"/>
  <c r="R259" i="159"/>
  <c r="S324" i="159"/>
  <c r="R324" i="159"/>
  <c r="S225" i="159"/>
  <c r="R225" i="159"/>
  <c r="S106" i="159"/>
  <c r="R106" i="159"/>
  <c r="S110" i="159"/>
  <c r="R110" i="159"/>
  <c r="S349" i="159"/>
  <c r="R349" i="159"/>
  <c r="S332" i="159"/>
  <c r="R332" i="159"/>
  <c r="S172" i="159"/>
  <c r="R172" i="159"/>
  <c r="S9" i="159"/>
  <c r="R9" i="159"/>
  <c r="S117" i="159"/>
  <c r="R117" i="159"/>
  <c r="S375" i="159"/>
  <c r="R375" i="159"/>
  <c r="S310" i="159"/>
  <c r="R310" i="159"/>
  <c r="S221" i="159"/>
  <c r="R221" i="159"/>
  <c r="S313" i="159"/>
  <c r="R313" i="159"/>
  <c r="R271" i="159"/>
  <c r="S271" i="159"/>
  <c r="S307" i="159"/>
  <c r="R307" i="159"/>
  <c r="U178" i="159"/>
  <c r="T178" i="159"/>
  <c r="U123" i="159"/>
  <c r="T123" i="159"/>
  <c r="U282" i="159"/>
  <c r="T282" i="159"/>
  <c r="S305" i="159"/>
  <c r="R305" i="159"/>
  <c r="P239" i="159"/>
  <c r="AN409" i="1" s="1"/>
  <c r="T239" i="159"/>
  <c r="U239" i="159"/>
  <c r="S280" i="159"/>
  <c r="R280" i="159"/>
  <c r="U203" i="159"/>
  <c r="T203" i="159"/>
  <c r="T153" i="159"/>
  <c r="U153" i="159"/>
  <c r="S322" i="159"/>
  <c r="R322" i="159"/>
  <c r="S168" i="159"/>
  <c r="R168" i="159"/>
  <c r="S299" i="159"/>
  <c r="R299" i="159"/>
  <c r="U131" i="159"/>
  <c r="T131" i="159"/>
  <c r="U67" i="159"/>
  <c r="T67" i="159"/>
  <c r="T292" i="159"/>
  <c r="U292" i="159"/>
  <c r="P254" i="159"/>
  <c r="AN11" i="1" s="1"/>
  <c r="S254" i="159"/>
  <c r="R254" i="159"/>
  <c r="S19" i="159"/>
  <c r="R19" i="159"/>
  <c r="U254" i="159"/>
  <c r="T254" i="159"/>
  <c r="U179" i="159"/>
  <c r="T179" i="159"/>
  <c r="U55" i="159"/>
  <c r="T55" i="159"/>
  <c r="U392" i="159"/>
  <c r="T392" i="159"/>
  <c r="U14" i="159"/>
  <c r="T14" i="159"/>
  <c r="U247" i="159"/>
  <c r="T247" i="159"/>
  <c r="U166" i="159"/>
  <c r="T166" i="159"/>
  <c r="U51" i="159"/>
  <c r="T51" i="159"/>
  <c r="U275" i="159"/>
  <c r="T275" i="159"/>
  <c r="U297" i="159"/>
  <c r="T297" i="159"/>
  <c r="U121" i="159"/>
  <c r="T121" i="159"/>
  <c r="U91" i="159"/>
  <c r="T91" i="159"/>
  <c r="U300" i="159"/>
  <c r="T300" i="159"/>
  <c r="P88" i="159"/>
  <c r="AN315" i="1" s="1"/>
  <c r="T88" i="159"/>
  <c r="U88" i="159"/>
  <c r="T264" i="159"/>
  <c r="U264" i="159"/>
  <c r="U410" i="159"/>
  <c r="T410" i="159"/>
  <c r="U219" i="159"/>
  <c r="T219" i="159"/>
  <c r="U150" i="159"/>
  <c r="T150" i="159"/>
  <c r="U173" i="159"/>
  <c r="T173" i="159"/>
  <c r="T184" i="159"/>
  <c r="U184" i="159"/>
  <c r="S312" i="159"/>
  <c r="R312" i="159"/>
  <c r="S147" i="159"/>
  <c r="R147" i="159"/>
  <c r="S223" i="159"/>
  <c r="R223" i="159"/>
  <c r="S377" i="159"/>
  <c r="R377" i="159"/>
  <c r="S279" i="159"/>
  <c r="R279" i="159"/>
  <c r="S326" i="159"/>
  <c r="R326" i="159"/>
  <c r="S220" i="159"/>
  <c r="R220" i="159"/>
  <c r="S197" i="159"/>
  <c r="R197" i="159"/>
  <c r="S193" i="159"/>
  <c r="R193" i="159"/>
  <c r="S72" i="159"/>
  <c r="R72" i="159"/>
  <c r="S217" i="159"/>
  <c r="R217" i="159"/>
  <c r="S125" i="159"/>
  <c r="R125" i="159"/>
  <c r="S101" i="159"/>
  <c r="R101" i="159"/>
  <c r="S105" i="159"/>
  <c r="R105" i="159"/>
  <c r="S306" i="159"/>
  <c r="R306" i="159"/>
  <c r="P267" i="159"/>
  <c r="AN61" i="1" s="1"/>
  <c r="P305" i="159"/>
  <c r="AN36" i="1" s="1"/>
  <c r="P280" i="159"/>
  <c r="AN15" i="1" s="1"/>
  <c r="P304" i="159"/>
  <c r="AN21" i="1" s="1"/>
  <c r="P164" i="159"/>
  <c r="AN42" i="1" s="1"/>
  <c r="P194" i="159"/>
  <c r="AN134" i="1" s="1"/>
  <c r="P124" i="159"/>
  <c r="AN51" i="1" s="1"/>
  <c r="P184" i="159"/>
  <c r="AN145" i="1" s="1"/>
  <c r="P131" i="159"/>
  <c r="AN53" i="1" s="1"/>
  <c r="P67" i="159"/>
  <c r="AN23" i="1" s="1"/>
  <c r="P189" i="159"/>
  <c r="AN43" i="1" s="1"/>
  <c r="P381" i="159"/>
  <c r="AN29" i="1" s="1"/>
  <c r="P200" i="159"/>
  <c r="AN18" i="1" s="1"/>
  <c r="P16" i="159"/>
  <c r="AN242" i="1" s="1"/>
  <c r="P216" i="159"/>
  <c r="AN322" i="1" s="1"/>
  <c r="P295" i="159"/>
  <c r="AN114" i="1" s="1"/>
  <c r="P281" i="159"/>
  <c r="AN276" i="1" s="1"/>
  <c r="P195" i="159"/>
  <c r="AN147" i="1" s="1"/>
  <c r="P235" i="159"/>
  <c r="AN112" i="1" s="1"/>
  <c r="P148" i="159"/>
  <c r="AN379" i="1" s="1"/>
  <c r="P291" i="159"/>
  <c r="AN63" i="1" s="1"/>
  <c r="P141" i="159"/>
  <c r="AN169" i="1" s="1"/>
  <c r="P113" i="159"/>
  <c r="AN140" i="1" s="1"/>
  <c r="P161" i="159"/>
  <c r="AN74" i="1" s="1"/>
  <c r="P256" i="159"/>
  <c r="AN81" i="1" s="1"/>
  <c r="P149" i="159"/>
  <c r="AN170" i="1" s="1"/>
  <c r="P119" i="159"/>
  <c r="AN138" i="1" s="1"/>
  <c r="P290" i="159"/>
  <c r="AN102" i="1" s="1"/>
  <c r="P276" i="159"/>
  <c r="AN336" i="1" s="1"/>
  <c r="P114" i="159"/>
  <c r="AN251" i="1" s="1"/>
  <c r="P192" i="159"/>
  <c r="AN349" i="1" s="1"/>
  <c r="P174" i="159"/>
  <c r="AN66" i="1" s="1"/>
  <c r="P150" i="159"/>
  <c r="AN67" i="1" s="1"/>
  <c r="P116" i="159"/>
  <c r="AN245" i="1" s="1"/>
  <c r="P204" i="159"/>
  <c r="AN346" i="1" s="1"/>
  <c r="P273" i="159"/>
  <c r="AN223" i="1" s="1"/>
  <c r="P76" i="159"/>
  <c r="AN306" i="1" s="1"/>
  <c r="P227" i="159"/>
  <c r="AN144" i="1" s="1"/>
  <c r="P128" i="159"/>
  <c r="AN96" i="1" s="1"/>
  <c r="P135" i="159"/>
  <c r="AN141" i="1" s="1"/>
  <c r="P264" i="159"/>
  <c r="AN113" i="1" s="1"/>
  <c r="P259" i="159"/>
  <c r="AN358" i="1" s="1"/>
  <c r="P225" i="159"/>
  <c r="AN383" i="1" s="1"/>
  <c r="P106" i="159"/>
  <c r="AN103" i="1" s="1"/>
  <c r="P110" i="159"/>
  <c r="AN54" i="1" s="1"/>
  <c r="P172" i="159"/>
  <c r="AN244" i="1" s="1"/>
  <c r="P9" i="159"/>
  <c r="AN117" i="1" s="1"/>
  <c r="P117" i="159"/>
  <c r="AN99" i="1" s="1"/>
  <c r="P310" i="159"/>
  <c r="AN77" i="1" s="1"/>
  <c r="P221" i="159"/>
  <c r="AN392" i="1" s="1"/>
  <c r="P313" i="159"/>
  <c r="AN343" i="1" s="1"/>
  <c r="P271" i="159"/>
  <c r="AN71" i="1" s="1"/>
  <c r="P307" i="159"/>
  <c r="AN351" i="1" s="1"/>
  <c r="P394" i="159"/>
  <c r="AN185" i="1" s="1"/>
  <c r="P138" i="159"/>
  <c r="AN291" i="1" s="1"/>
  <c r="P397" i="159"/>
  <c r="AN240" i="1" s="1"/>
  <c r="P50" i="159"/>
  <c r="AN150" i="1" s="1"/>
  <c r="N340" i="159"/>
  <c r="P162" i="159"/>
  <c r="AN274" i="1" s="1"/>
  <c r="P168" i="159"/>
  <c r="AN44" i="1" s="1"/>
  <c r="P19" i="159"/>
  <c r="AN38" i="1" s="1"/>
  <c r="P179" i="159"/>
  <c r="AN256" i="1" s="1"/>
  <c r="P312" i="159"/>
  <c r="AN259" i="1" s="1"/>
  <c r="P147" i="159"/>
  <c r="AN65" i="1" s="1"/>
  <c r="P223" i="159"/>
  <c r="AN142" i="1" s="1"/>
  <c r="P279" i="159"/>
  <c r="AN412" i="1" s="1"/>
  <c r="P220" i="159"/>
  <c r="AN152" i="1" s="1"/>
  <c r="P197" i="159"/>
  <c r="AN146" i="1" s="1"/>
  <c r="P193" i="159"/>
  <c r="AN243" i="1" s="1"/>
  <c r="P72" i="159"/>
  <c r="AN352" i="1" s="1"/>
  <c r="P217" i="159"/>
  <c r="AN275" i="1" s="1"/>
  <c r="P125" i="159"/>
  <c r="AN179" i="1" s="1"/>
  <c r="P101" i="159"/>
  <c r="AN159" i="1" s="1"/>
  <c r="P105" i="159"/>
  <c r="AN248" i="1" s="1"/>
  <c r="P129" i="159"/>
  <c r="AN226" i="1" s="1"/>
  <c r="P306" i="159"/>
  <c r="AN227" i="1" s="1"/>
  <c r="P166" i="159"/>
  <c r="AN237" i="1" s="1"/>
  <c r="P65" i="159"/>
  <c r="AN154" i="1" s="1"/>
  <c r="P317" i="159"/>
  <c r="AN266" i="1" s="1"/>
  <c r="P28" i="159"/>
  <c r="AN295" i="1" s="1"/>
  <c r="O12" i="159"/>
  <c r="P344" i="159"/>
  <c r="AN130" i="1" s="1"/>
  <c r="P6" i="159"/>
  <c r="AN125" i="1" s="1"/>
  <c r="P8" i="159"/>
  <c r="AN302" i="1" s="1"/>
  <c r="P107" i="159"/>
  <c r="AN162" i="1" s="1"/>
  <c r="P275" i="159"/>
  <c r="AN282" i="1" s="1"/>
  <c r="P13" i="159"/>
  <c r="AN118" i="1" s="1"/>
  <c r="P98" i="159"/>
  <c r="AN189" i="1" s="1"/>
  <c r="P187" i="159"/>
  <c r="AN403" i="1" s="1"/>
  <c r="P268" i="159"/>
  <c r="AN334" i="1" s="1"/>
  <c r="P74" i="159"/>
  <c r="AN304" i="1" s="1"/>
  <c r="P120" i="159"/>
  <c r="AN407" i="1" s="1"/>
  <c r="P296" i="159"/>
  <c r="AN58" i="1" s="1"/>
  <c r="P97" i="159"/>
  <c r="AN97" i="1" s="1"/>
  <c r="P269" i="159"/>
  <c r="AN260" i="1" s="1"/>
  <c r="P266" i="159"/>
  <c r="AN411" i="1" s="1"/>
  <c r="P17" i="159"/>
  <c r="AN310" i="1" s="1"/>
  <c r="P218" i="159"/>
  <c r="AN350" i="1" s="1"/>
  <c r="P96" i="159"/>
  <c r="AN177" i="1" s="1"/>
  <c r="P272" i="159"/>
  <c r="AN405" i="1" s="1"/>
  <c r="P152" i="159"/>
  <c r="AN87" i="1" s="1"/>
  <c r="P202" i="159"/>
  <c r="AN359" i="1" s="1"/>
  <c r="P287" i="159"/>
  <c r="AN335" i="1" s="1"/>
  <c r="P10" i="159"/>
  <c r="AN344" i="1" s="1"/>
  <c r="P132" i="159"/>
  <c r="AN136" i="1" s="1"/>
  <c r="P286" i="159"/>
  <c r="AN109" i="1" s="1"/>
  <c r="P308" i="159"/>
  <c r="AN386" i="1" s="1"/>
  <c r="P173" i="159"/>
  <c r="AN396" i="1" s="1"/>
  <c r="P126" i="159"/>
  <c r="AN167" i="1" s="1"/>
  <c r="P405" i="159"/>
  <c r="AN220" i="1" s="1"/>
  <c r="P410" i="159"/>
  <c r="AN186" i="1" s="1"/>
  <c r="P205" i="159"/>
  <c r="AN273" i="1" s="1"/>
  <c r="P66" i="159"/>
  <c r="AN83" i="1" s="1"/>
  <c r="P137" i="159"/>
  <c r="AN255" i="1" s="1"/>
  <c r="P153" i="159"/>
  <c r="AN41" i="1" s="1"/>
  <c r="P69" i="159"/>
  <c r="AN263" i="1" s="1"/>
  <c r="P318" i="159"/>
  <c r="AN262" i="1" s="1"/>
  <c r="P343" i="159"/>
  <c r="AN228" i="1" s="1"/>
  <c r="P140" i="159"/>
  <c r="AN268" i="1" s="1"/>
  <c r="P316" i="159"/>
  <c r="AN265" i="1" s="1"/>
  <c r="P115" i="159"/>
  <c r="AN95" i="1" s="1"/>
  <c r="P261" i="159"/>
  <c r="AN354" i="1" s="1"/>
  <c r="P20" i="159"/>
  <c r="AN115" i="1" s="1"/>
  <c r="P236" i="159"/>
  <c r="AN323" i="1" s="1"/>
  <c r="N104" i="159"/>
  <c r="P177" i="159"/>
  <c r="AN195" i="1" s="1"/>
  <c r="P144" i="159"/>
  <c r="AN312" i="1" s="1"/>
  <c r="P277" i="159"/>
  <c r="AN353" i="1" s="1"/>
  <c r="P278" i="159"/>
  <c r="AN280" i="1" s="1"/>
  <c r="P294" i="159"/>
  <c r="AN348" i="1" s="1"/>
  <c r="P40" i="159"/>
  <c r="AN290" i="1" s="1"/>
  <c r="P395" i="159"/>
  <c r="AN210" i="1" s="1"/>
  <c r="P387" i="159"/>
  <c r="AN198" i="1" s="1"/>
  <c r="P411" i="159"/>
  <c r="AN211" i="1" s="1"/>
  <c r="P262" i="159"/>
  <c r="AN45" i="1" s="1"/>
  <c r="P70" i="159"/>
  <c r="AN39" i="1" s="1"/>
  <c r="O22" i="159"/>
  <c r="P27" i="159"/>
  <c r="AN123" i="1" s="1"/>
  <c r="P228" i="159"/>
  <c r="AN324" i="1" s="1"/>
  <c r="P95" i="159"/>
  <c r="AN175" i="1" s="1"/>
  <c r="P199" i="159"/>
  <c r="AN277" i="1" s="1"/>
  <c r="P284" i="159"/>
  <c r="AN89" i="1" s="1"/>
  <c r="P23" i="159"/>
  <c r="AN331" i="1" s="1"/>
  <c r="P112" i="159"/>
  <c r="AN247" i="1" s="1"/>
  <c r="P298" i="159"/>
  <c r="AN72" i="1" s="1"/>
  <c r="P229" i="159"/>
  <c r="AN78" i="1" s="1"/>
  <c r="P270" i="159"/>
  <c r="AN196" i="1" s="1"/>
  <c r="P260" i="159"/>
  <c r="AN410" i="1" s="1"/>
  <c r="P186" i="159"/>
  <c r="AN92" i="1" s="1"/>
  <c r="P302" i="159"/>
  <c r="AN341" i="1" s="1"/>
  <c r="P11" i="159"/>
  <c r="AN231" i="1" s="1"/>
  <c r="P134" i="159"/>
  <c r="AN157" i="1" s="1"/>
  <c r="P190" i="159"/>
  <c r="AN279" i="1" s="1"/>
  <c r="P285" i="159"/>
  <c r="AN287" i="1" s="1"/>
  <c r="P232" i="159"/>
  <c r="AN391" i="1" s="1"/>
  <c r="P121" i="159"/>
  <c r="AN139" i="1" s="1"/>
  <c r="P118" i="159"/>
  <c r="AN188" i="1" s="1"/>
  <c r="P196" i="159"/>
  <c r="AN356" i="1" s="1"/>
  <c r="P263" i="159"/>
  <c r="AN300" i="1" s="1"/>
  <c r="N339" i="159"/>
  <c r="P231" i="159"/>
  <c r="AN308" i="1" s="1"/>
  <c r="P127" i="159"/>
  <c r="AN187" i="1" s="1"/>
  <c r="P185" i="159"/>
  <c r="AN205" i="1" s="1"/>
  <c r="P408" i="159"/>
  <c r="AN217" i="1" s="1"/>
  <c r="P43" i="159"/>
  <c r="AN105" i="1" s="1"/>
  <c r="P139" i="159"/>
  <c r="AN64" i="1" s="1"/>
  <c r="P24" i="159"/>
  <c r="AN59" i="1" s="1"/>
  <c r="P396" i="159"/>
  <c r="AN202" i="1" s="1"/>
  <c r="P167" i="159"/>
  <c r="AN250" i="1" s="1"/>
  <c r="P29" i="159"/>
  <c r="AN86" i="1" s="1"/>
  <c r="O238" i="159"/>
  <c r="P341" i="159"/>
  <c r="AN126" i="1" s="1"/>
  <c r="P282" i="159"/>
  <c r="AN32" i="1" s="1"/>
  <c r="P309" i="159"/>
  <c r="AN25" i="1" s="1"/>
  <c r="P181" i="159"/>
  <c r="AN8" i="1" s="1"/>
  <c r="P255" i="159"/>
  <c r="AN120" i="1" s="1"/>
  <c r="P315" i="159"/>
  <c r="AN267" i="1" s="1"/>
  <c r="P379" i="159"/>
  <c r="AN207" i="1" s="1"/>
  <c r="P188" i="159"/>
  <c r="AN232" i="1" s="1"/>
  <c r="P75" i="159"/>
  <c r="AN222" i="1" s="1"/>
  <c r="P234" i="159"/>
  <c r="AN406" i="1" s="1"/>
  <c r="P178" i="159"/>
  <c r="AN73" i="1" s="1"/>
  <c r="P311" i="159"/>
  <c r="AN57" i="1" s="1"/>
  <c r="P258" i="159"/>
  <c r="AN153" i="1" s="1"/>
  <c r="P108" i="159"/>
  <c r="AN216" i="1" s="1"/>
  <c r="P146" i="159"/>
  <c r="AN69" i="1" s="1"/>
  <c r="P283" i="159"/>
  <c r="AN254" i="1" s="1"/>
  <c r="P198" i="159"/>
  <c r="AN106" i="1" s="1"/>
  <c r="P156" i="159"/>
  <c r="AN143" i="1" s="1"/>
  <c r="P392" i="159"/>
  <c r="AN203" i="1" s="1"/>
  <c r="P404" i="159"/>
  <c r="AN209" i="1" s="1"/>
  <c r="P46" i="159"/>
  <c r="AN384" i="1" s="1"/>
  <c r="P169" i="159"/>
  <c r="AN88" i="1" s="1"/>
  <c r="P245" i="159"/>
  <c r="AN249" i="1" s="1"/>
  <c r="P64" i="159"/>
  <c r="AN221" i="1" s="1"/>
  <c r="P247" i="159"/>
  <c r="AN388" i="1" s="1"/>
  <c r="P33" i="159"/>
  <c r="AN194" i="1" s="1"/>
  <c r="P203" i="159"/>
  <c r="AN14" i="1" s="1"/>
  <c r="P123" i="159"/>
  <c r="AN50" i="1" s="1"/>
  <c r="P253" i="159"/>
  <c r="AN82" i="1" s="1"/>
  <c r="P30" i="159"/>
  <c r="AN119" i="1" s="1"/>
  <c r="P21" i="159"/>
  <c r="AN79" i="1" s="1"/>
  <c r="P224" i="159"/>
  <c r="AN393" i="1" s="1"/>
  <c r="P99" i="159"/>
  <c r="AN235" i="1" s="1"/>
  <c r="P300" i="159"/>
  <c r="AN294" i="1" s="1"/>
  <c r="P226" i="159"/>
  <c r="AN389" i="1" s="1"/>
  <c r="P130" i="159"/>
  <c r="AN98" i="1" s="1"/>
  <c r="P182" i="159"/>
  <c r="AN151" i="1" s="1"/>
  <c r="P265" i="159"/>
  <c r="AN288" i="1" s="1"/>
  <c r="P15" i="159"/>
  <c r="AN309" i="1" s="1"/>
  <c r="P133" i="159"/>
  <c r="AN100" i="1" s="1"/>
  <c r="P183" i="159"/>
  <c r="AN161" i="1" s="1"/>
  <c r="P297" i="159"/>
  <c r="AN229" i="1" s="1"/>
  <c r="P143" i="159"/>
  <c r="AN311" i="1" s="1"/>
  <c r="P289" i="159"/>
  <c r="AN239" i="1" s="1"/>
  <c r="P233" i="159"/>
  <c r="AN70" i="1" s="1"/>
  <c r="P151" i="159"/>
  <c r="AN314" i="1" s="1"/>
  <c r="P18" i="159"/>
  <c r="AN116" i="1" s="1"/>
  <c r="P103" i="159"/>
  <c r="AN135" i="1" s="1"/>
  <c r="P301" i="159"/>
  <c r="AN292" i="1" s="1"/>
  <c r="P93" i="159"/>
  <c r="AN190" i="1" s="1"/>
  <c r="P191" i="159"/>
  <c r="AN375" i="1" s="1"/>
  <c r="P219" i="159"/>
  <c r="AN402" i="1" s="1"/>
  <c r="P102" i="159"/>
  <c r="AN101" i="1" s="1"/>
  <c r="P257" i="159"/>
  <c r="AN286" i="1" s="1"/>
  <c r="P71" i="159"/>
  <c r="AN305" i="1" s="1"/>
  <c r="P386" i="159"/>
  <c r="AN197" i="1" s="1"/>
  <c r="P393" i="159"/>
  <c r="AN206" i="1" s="1"/>
  <c r="P91" i="159"/>
  <c r="AN230" i="1" s="1"/>
  <c r="P34" i="159"/>
  <c r="AN299" i="1" s="1"/>
  <c r="P55" i="159"/>
  <c r="AN376" i="1" s="1"/>
  <c r="P401" i="159"/>
  <c r="AN332" i="1" s="1"/>
  <c r="P39" i="159"/>
  <c r="AN191" i="1" s="1"/>
  <c r="P38" i="159"/>
  <c r="AN158" i="1" s="1"/>
  <c r="P51" i="159"/>
  <c r="AN371" i="1" s="1"/>
  <c r="P53" i="159"/>
  <c r="AN84" i="1" s="1"/>
  <c r="P244" i="159"/>
  <c r="AN326" i="1" s="1"/>
  <c r="P36" i="159"/>
  <c r="AN236" i="1" s="1"/>
  <c r="M57" i="71"/>
  <c r="AJ46" i="1"/>
  <c r="AL48" i="1"/>
  <c r="AJ48" i="1"/>
  <c r="AL46" i="1"/>
  <c r="O336" i="159" s="1"/>
  <c r="AL9" i="1"/>
  <c r="AL35" i="1"/>
  <c r="AJ29" i="1"/>
  <c r="Z29" i="1" s="1"/>
  <c r="AJ37" i="1"/>
  <c r="AJ35" i="1"/>
  <c r="Z35" i="1" s="1"/>
  <c r="AJ9" i="1"/>
  <c r="Z9" i="1" s="1"/>
  <c r="AL40" i="1"/>
  <c r="M28" i="71"/>
  <c r="O28" i="71" s="1"/>
  <c r="P28" i="71" s="1"/>
  <c r="AJ12" i="1"/>
  <c r="Z12" i="1" s="1"/>
  <c r="M60" i="71"/>
  <c r="O60" i="71" s="1"/>
  <c r="P60" i="71" s="1"/>
  <c r="AL12" i="1"/>
  <c r="AJ40" i="1"/>
  <c r="Z40" i="1" s="1"/>
  <c r="AL22" i="1"/>
  <c r="M56" i="71"/>
  <c r="O56" i="71" s="1"/>
  <c r="P56" i="71" s="1"/>
  <c r="AL37" i="1"/>
  <c r="O303" i="159" s="1"/>
  <c r="AL124" i="1"/>
  <c r="AJ124" i="1"/>
  <c r="Z124" i="1" s="1"/>
  <c r="AL338" i="1"/>
  <c r="AJ338" i="1"/>
  <c r="Z338" i="1" s="1"/>
  <c r="AL272" i="1"/>
  <c r="AJ272" i="1"/>
  <c r="Z272" i="1" s="1"/>
  <c r="AJ241" i="1"/>
  <c r="Z241" i="1" s="1"/>
  <c r="AL241" i="1"/>
  <c r="O321" i="159" s="1"/>
  <c r="AL297" i="1"/>
  <c r="AJ297" i="1"/>
  <c r="Z297" i="1" s="1"/>
  <c r="AL122" i="1"/>
  <c r="AJ122" i="1"/>
  <c r="Z122" i="1" s="1"/>
  <c r="AL303" i="1"/>
  <c r="AJ303" i="1"/>
  <c r="Z303" i="1" s="1"/>
  <c r="AL171" i="1"/>
  <c r="O213" i="159" s="1"/>
  <c r="AJ171" i="1"/>
  <c r="Z171" i="1" s="1"/>
  <c r="AL215" i="1"/>
  <c r="AJ215" i="1"/>
  <c r="Z215" i="1" s="1"/>
  <c r="AL94" i="1"/>
  <c r="O361" i="159" s="1"/>
  <c r="AJ94" i="1"/>
  <c r="Z94" i="1" s="1"/>
  <c r="AL91" i="1"/>
  <c r="O376" i="159" s="1"/>
  <c r="AJ91" i="1"/>
  <c r="Z91" i="1" s="1"/>
  <c r="AJ368" i="1"/>
  <c r="Z368" i="1" s="1"/>
  <c r="AL368" i="1"/>
  <c r="O360" i="159" s="1"/>
  <c r="AJ257" i="1"/>
  <c r="Z257" i="1" s="1"/>
  <c r="AL257" i="1"/>
  <c r="AL321" i="1"/>
  <c r="AJ321" i="1"/>
  <c r="Z321" i="1" s="1"/>
  <c r="AL110" i="1"/>
  <c r="O352" i="159" s="1"/>
  <c r="AJ110" i="1"/>
  <c r="Z110" i="1" s="1"/>
  <c r="AL296" i="1"/>
  <c r="AJ296" i="1"/>
  <c r="Z296" i="1" s="1"/>
  <c r="AL337" i="1"/>
  <c r="AJ337" i="1"/>
  <c r="Z337" i="1" s="1"/>
  <c r="AL121" i="1"/>
  <c r="O385" i="159" s="1"/>
  <c r="AJ121" i="1"/>
  <c r="Z121" i="1" s="1"/>
  <c r="AL397" i="1"/>
  <c r="O212" i="159" s="1"/>
  <c r="AJ397" i="1"/>
  <c r="Z397" i="1" s="1"/>
  <c r="AL201" i="1"/>
  <c r="AJ201" i="1"/>
  <c r="Z201" i="1" s="1"/>
  <c r="AL183" i="1"/>
  <c r="AJ183" i="1"/>
  <c r="Z183" i="1" s="1"/>
  <c r="AL372" i="1"/>
  <c r="AJ372" i="1"/>
  <c r="Z372" i="1" s="1"/>
  <c r="AL385" i="1"/>
  <c r="O366" i="159" s="1"/>
  <c r="AJ385" i="1"/>
  <c r="Z385" i="1" s="1"/>
  <c r="AL200" i="1"/>
  <c r="AJ200" i="1"/>
  <c r="Z200" i="1" s="1"/>
  <c r="AL319" i="1"/>
  <c r="AJ319" i="1"/>
  <c r="Z319" i="1" s="1"/>
  <c r="AL165" i="1"/>
  <c r="AJ165" i="1"/>
  <c r="Z165" i="1" s="1"/>
  <c r="AJ289" i="1"/>
  <c r="Z289" i="1" s="1"/>
  <c r="AL289" i="1"/>
  <c r="AL355" i="1"/>
  <c r="AJ355" i="1"/>
  <c r="Z355" i="1" s="1"/>
  <c r="AL168" i="1"/>
  <c r="AJ168" i="1"/>
  <c r="Z168" i="1" s="1"/>
  <c r="AL258" i="1"/>
  <c r="AJ258" i="1"/>
  <c r="Z258" i="1" s="1"/>
  <c r="AL149" i="1"/>
  <c r="O370" i="159" s="1"/>
  <c r="AJ149" i="1"/>
  <c r="Z149" i="1" s="1"/>
  <c r="AL340" i="1"/>
  <c r="AJ340" i="1"/>
  <c r="Z340" i="1" s="1"/>
  <c r="AL369" i="1"/>
  <c r="AJ369" i="1"/>
  <c r="Z369" i="1" s="1"/>
  <c r="AJ104" i="1"/>
  <c r="Z104" i="1" s="1"/>
  <c r="AL104" i="1"/>
  <c r="O365" i="159" s="1"/>
  <c r="AJ387" i="1"/>
  <c r="Z387" i="1" s="1"/>
  <c r="AL387" i="1"/>
  <c r="AL253" i="1"/>
  <c r="O324" i="159" s="1"/>
  <c r="AJ253" i="1"/>
  <c r="Z253" i="1" s="1"/>
  <c r="AJ347" i="1"/>
  <c r="Z347" i="1" s="1"/>
  <c r="AL347" i="1"/>
  <c r="O77" i="159" s="1"/>
  <c r="AL264" i="1"/>
  <c r="O78" i="159" s="1"/>
  <c r="AJ264" i="1"/>
  <c r="Z264" i="1" s="1"/>
  <c r="AJ363" i="1"/>
  <c r="Z363" i="1" s="1"/>
  <c r="AL363" i="1"/>
  <c r="AL374" i="1"/>
  <c r="AJ374" i="1"/>
  <c r="Z374" i="1" s="1"/>
  <c r="AL93" i="1"/>
  <c r="O357" i="159" s="1"/>
  <c r="AJ93" i="1"/>
  <c r="Z93" i="1" s="1"/>
  <c r="AL345" i="1"/>
  <c r="O359" i="159" s="1"/>
  <c r="AJ345" i="1"/>
  <c r="Z345" i="1" s="1"/>
  <c r="AL127" i="1"/>
  <c r="AJ127" i="1"/>
  <c r="Z127" i="1" s="1"/>
  <c r="AL90" i="1"/>
  <c r="O378" i="159" s="1"/>
  <c r="AJ90" i="1"/>
  <c r="Z90" i="1" s="1"/>
  <c r="AL283" i="1"/>
  <c r="AJ283" i="1"/>
  <c r="Z283" i="1" s="1"/>
  <c r="AL317" i="1"/>
  <c r="O332" i="159" s="1"/>
  <c r="AJ317" i="1"/>
  <c r="Z317" i="1" s="1"/>
  <c r="AL128" i="1"/>
  <c r="AJ128" i="1"/>
  <c r="Z128" i="1" s="1"/>
  <c r="AL213" i="1"/>
  <c r="AJ213" i="1"/>
  <c r="Z213" i="1" s="1"/>
  <c r="AL357" i="1"/>
  <c r="O348" i="159" s="1"/>
  <c r="AJ357" i="1"/>
  <c r="Z357" i="1" s="1"/>
  <c r="AL366" i="1"/>
  <c r="O347" i="159" s="1"/>
  <c r="AJ366" i="1"/>
  <c r="Z366" i="1" s="1"/>
  <c r="AL163" i="1"/>
  <c r="AJ163" i="1"/>
  <c r="Z163" i="1" s="1"/>
  <c r="AL233" i="1"/>
  <c r="AJ233" i="1"/>
  <c r="Z233" i="1" s="1"/>
  <c r="AL164" i="1"/>
  <c r="AJ164" i="1"/>
  <c r="Z164" i="1" s="1"/>
  <c r="AJ365" i="1"/>
  <c r="Z365" i="1" s="1"/>
  <c r="AL365" i="1"/>
  <c r="AL234" i="1"/>
  <c r="AJ234" i="1"/>
  <c r="Z234" i="1" s="1"/>
  <c r="AL301" i="1"/>
  <c r="AJ301" i="1"/>
  <c r="Z301" i="1" s="1"/>
  <c r="AL173" i="1"/>
  <c r="AJ173" i="1"/>
  <c r="Z173" i="1" s="1"/>
  <c r="AL293" i="1"/>
  <c r="O81" i="159" s="1"/>
  <c r="AJ293" i="1"/>
  <c r="Z293" i="1" s="1"/>
  <c r="AL252" i="1"/>
  <c r="O208" i="159" s="1"/>
  <c r="AJ252" i="1"/>
  <c r="Z252" i="1" s="1"/>
  <c r="AL111" i="1"/>
  <c r="AJ111" i="1"/>
  <c r="Z111" i="1" s="1"/>
  <c r="AL342" i="1"/>
  <c r="AJ342" i="1"/>
  <c r="Z342" i="1" s="1"/>
  <c r="AJ107" i="1"/>
  <c r="Z107" i="1" s="1"/>
  <c r="AL107" i="1"/>
  <c r="O356" i="159" s="1"/>
  <c r="AJ193" i="1"/>
  <c r="Z193" i="1" s="1"/>
  <c r="AL193" i="1"/>
  <c r="AL316" i="1"/>
  <c r="AJ316" i="1"/>
  <c r="Z316" i="1" s="1"/>
  <c r="AL377" i="1"/>
  <c r="O320" i="159" s="1"/>
  <c r="AJ377" i="1"/>
  <c r="Z377" i="1" s="1"/>
  <c r="AL318" i="1"/>
  <c r="AJ318" i="1"/>
  <c r="Z318" i="1" s="1"/>
  <c r="AL381" i="1"/>
  <c r="AJ381" i="1"/>
  <c r="Z381" i="1" s="1"/>
  <c r="AL132" i="1"/>
  <c r="AJ132" i="1"/>
  <c r="Z132" i="1" s="1"/>
  <c r="AL199" i="1"/>
  <c r="O383" i="159" s="1"/>
  <c r="AJ199" i="1"/>
  <c r="Z199" i="1" s="1"/>
  <c r="AL180" i="1"/>
  <c r="AJ180" i="1"/>
  <c r="Z180" i="1" s="1"/>
  <c r="AL367" i="1"/>
  <c r="AJ367" i="1"/>
  <c r="Z367" i="1" s="1"/>
  <c r="AJ278" i="1"/>
  <c r="Z278" i="1" s="1"/>
  <c r="AL278" i="1"/>
  <c r="AL370" i="1"/>
  <c r="O364" i="159" s="1"/>
  <c r="AJ370" i="1"/>
  <c r="Z370" i="1" s="1"/>
  <c r="AJ129" i="1"/>
  <c r="Z129" i="1" s="1"/>
  <c r="AL129" i="1"/>
  <c r="AL7" i="1"/>
  <c r="AL31" i="1"/>
  <c r="AJ7" i="1"/>
  <c r="Z7" i="1" s="1"/>
  <c r="AJ31" i="1"/>
  <c r="Z31" i="1" s="1"/>
  <c r="AJ6" i="1"/>
  <c r="AL33" i="1"/>
  <c r="AJ33" i="1"/>
  <c r="Z33" i="1" s="1"/>
  <c r="AL30" i="1"/>
  <c r="AL16" i="1"/>
  <c r="AJ16" i="1"/>
  <c r="AL17" i="1"/>
  <c r="M55" i="71"/>
  <c r="AJ17" i="1"/>
  <c r="Z17" i="1" s="1"/>
  <c r="AL34" i="1"/>
  <c r="N55" i="71"/>
  <c r="AJ34" i="1"/>
  <c r="AL10" i="1"/>
  <c r="AJ10" i="1"/>
  <c r="M19" i="71" s="1"/>
  <c r="AA7" i="1"/>
  <c r="AA11" i="1"/>
  <c r="AA41" i="1"/>
  <c r="AA16" i="1"/>
  <c r="AA14" i="1"/>
  <c r="AA8" i="1"/>
  <c r="AA23" i="1"/>
  <c r="AA6" i="1"/>
  <c r="AA28" i="1"/>
  <c r="AA29" i="1"/>
  <c r="Z41" i="1"/>
  <c r="Z32" i="1"/>
  <c r="Z11" i="1"/>
  <c r="Z14" i="1"/>
  <c r="Z23" i="1"/>
  <c r="Z8" i="1"/>
  <c r="Z48" i="1"/>
  <c r="AA37" i="1"/>
  <c r="AA31" i="1"/>
  <c r="AA25" i="1"/>
  <c r="N22" i="71"/>
  <c r="AA48" i="1"/>
  <c r="AA34" i="1"/>
  <c r="AA12" i="1"/>
  <c r="AA50" i="1"/>
  <c r="N35" i="71"/>
  <c r="N26" i="71"/>
  <c r="N40" i="71"/>
  <c r="N24" i="71"/>
  <c r="N38" i="71"/>
  <c r="N25" i="71"/>
  <c r="N27" i="71"/>
  <c r="AA15" i="1"/>
  <c r="N19" i="71"/>
  <c r="AA32" i="1"/>
  <c r="AA33" i="1"/>
  <c r="AA46" i="1"/>
  <c r="AA17" i="1"/>
  <c r="AA44" i="1"/>
  <c r="AA10" i="1"/>
  <c r="AA51" i="1"/>
  <c r="AA43" i="1"/>
  <c r="N8" i="71"/>
  <c r="AA9" i="1"/>
  <c r="N23" i="71"/>
  <c r="AA24" i="1"/>
  <c r="N41" i="71"/>
  <c r="AA18" i="1"/>
  <c r="AA45" i="1"/>
  <c r="AA40" i="1"/>
  <c r="AA35" i="1"/>
  <c r="AA30" i="1"/>
  <c r="AA39" i="1"/>
  <c r="AA53" i="1"/>
  <c r="AA42" i="1"/>
  <c r="AA36" i="1"/>
  <c r="AA38" i="1"/>
  <c r="Z53" i="1"/>
  <c r="M51" i="71"/>
  <c r="M17" i="71"/>
  <c r="Z28" i="1"/>
  <c r="M38" i="71"/>
  <c r="M36" i="71"/>
  <c r="Z45" i="1"/>
  <c r="Z25" i="1"/>
  <c r="Z50" i="1"/>
  <c r="Z18" i="1"/>
  <c r="Z43" i="1"/>
  <c r="M44" i="71"/>
  <c r="Z51" i="1"/>
  <c r="Z36" i="1"/>
  <c r="Z30" i="1"/>
  <c r="Z39" i="1"/>
  <c r="Z42" i="1"/>
  <c r="Z21" i="1"/>
  <c r="Z15" i="1"/>
  <c r="Z44" i="1"/>
  <c r="Z38" i="1"/>
  <c r="M11" i="71"/>
  <c r="N58" i="71"/>
  <c r="N45" i="71"/>
  <c r="M15" i="71"/>
  <c r="N49" i="71"/>
  <c r="N54" i="71"/>
  <c r="M25" i="71"/>
  <c r="M45" i="71"/>
  <c r="N43" i="71"/>
  <c r="M47" i="71"/>
  <c r="M23" i="71"/>
  <c r="N47" i="71"/>
  <c r="M12" i="71"/>
  <c r="M18" i="71"/>
  <c r="M7" i="71"/>
  <c r="N44" i="71"/>
  <c r="M27" i="71"/>
  <c r="M24" i="71"/>
  <c r="N39" i="71"/>
  <c r="M35" i="71"/>
  <c r="M29" i="71"/>
  <c r="M6" i="71"/>
  <c r="M40" i="71"/>
  <c r="N53" i="71"/>
  <c r="M58" i="71"/>
  <c r="N36" i="71"/>
  <c r="M52" i="71"/>
  <c r="N6" i="71"/>
  <c r="M39" i="71"/>
  <c r="N17" i="71"/>
  <c r="N52" i="71"/>
  <c r="M43" i="71"/>
  <c r="M26" i="71"/>
  <c r="N18" i="71"/>
  <c r="N29" i="71"/>
  <c r="N12" i="71"/>
  <c r="N51" i="71"/>
  <c r="AJ27" i="1"/>
  <c r="AL27" i="1"/>
  <c r="AK26" i="1"/>
  <c r="AM26" i="1"/>
  <c r="AJ20" i="1"/>
  <c r="AL20" i="1"/>
  <c r="AJ26" i="1"/>
  <c r="AL26" i="1"/>
  <c r="AJ13" i="1"/>
  <c r="AL13" i="1"/>
  <c r="AK52" i="1"/>
  <c r="AM52" i="1"/>
  <c r="AK19" i="1"/>
  <c r="AM19" i="1"/>
  <c r="AJ52" i="1"/>
  <c r="AL52" i="1"/>
  <c r="AK20" i="1"/>
  <c r="AA20" i="1" s="1"/>
  <c r="AM20" i="1"/>
  <c r="AK49" i="1"/>
  <c r="AA49" i="1" s="1"/>
  <c r="AM49" i="1"/>
  <c r="N136" i="159" s="1"/>
  <c r="AK27" i="1"/>
  <c r="AM27" i="1"/>
  <c r="AK47" i="1"/>
  <c r="AM47" i="1"/>
  <c r="AJ19" i="1"/>
  <c r="AL19" i="1"/>
  <c r="AJ47" i="1"/>
  <c r="AL47" i="1"/>
  <c r="O85" i="159" s="1"/>
  <c r="AK13" i="1"/>
  <c r="AM13" i="1"/>
  <c r="AJ49" i="1"/>
  <c r="AL49" i="1"/>
  <c r="P175" i="159" l="1"/>
  <c r="AN404" i="1" s="1"/>
  <c r="R378" i="159"/>
  <c r="R198" i="159"/>
  <c r="R129" i="159"/>
  <c r="V129" i="159" s="1"/>
  <c r="N201" i="159"/>
  <c r="N7" i="71"/>
  <c r="O7" i="71" s="1"/>
  <c r="P7" i="71" s="1"/>
  <c r="P94" i="159"/>
  <c r="AN56" i="1" s="1"/>
  <c r="P122" i="159"/>
  <c r="AN55" i="1" s="1"/>
  <c r="R325" i="159"/>
  <c r="R122" i="159"/>
  <c r="P100" i="159"/>
  <c r="AN333" i="1" s="1"/>
  <c r="R350" i="159"/>
  <c r="R376" i="159"/>
  <c r="R100" i="159"/>
  <c r="R102" i="159"/>
  <c r="R151" i="159"/>
  <c r="R300" i="159"/>
  <c r="R20" i="159"/>
  <c r="R94" i="159"/>
  <c r="Q94" i="159" s="1"/>
  <c r="AO56" i="1" s="1"/>
  <c r="S14" i="159"/>
  <c r="R232" i="159"/>
  <c r="Q232" i="159" s="1"/>
  <c r="AO391" i="1" s="1"/>
  <c r="S357" i="159"/>
  <c r="P314" i="159"/>
  <c r="AN218" i="1" s="1"/>
  <c r="R314" i="159"/>
  <c r="N331" i="159"/>
  <c r="R331" i="159" s="1"/>
  <c r="P222" i="159"/>
  <c r="AN390" i="1" s="1"/>
  <c r="P111" i="159"/>
  <c r="AN225" i="1" s="1"/>
  <c r="R222" i="159"/>
  <c r="N15" i="71"/>
  <c r="P176" i="159"/>
  <c r="AN398" i="1" s="1"/>
  <c r="R333" i="159"/>
  <c r="R176" i="159"/>
  <c r="V176" i="159" s="1"/>
  <c r="N11" i="71"/>
  <c r="O11" i="71" s="1"/>
  <c r="P11" i="71" s="1"/>
  <c r="R173" i="159"/>
  <c r="Q173" i="159" s="1"/>
  <c r="AO396" i="1" s="1"/>
  <c r="R142" i="159"/>
  <c r="Q142" i="159" s="1"/>
  <c r="AO24" i="1" s="1"/>
  <c r="R14" i="159"/>
  <c r="S175" i="159"/>
  <c r="N73" i="159"/>
  <c r="P73" i="159" s="1"/>
  <c r="AN307" i="1" s="1"/>
  <c r="Z46" i="1"/>
  <c r="AK4" i="1"/>
  <c r="Z6" i="1"/>
  <c r="AJ4" i="1"/>
  <c r="O57" i="71"/>
  <c r="P57" i="71" s="1"/>
  <c r="Q411" i="159"/>
  <c r="AO211" i="1" s="1"/>
  <c r="Q44" i="159"/>
  <c r="AO148" i="1" s="1"/>
  <c r="V44" i="159"/>
  <c r="Q249" i="159"/>
  <c r="AO382" i="1" s="1"/>
  <c r="V411" i="159"/>
  <c r="V404" i="159"/>
  <c r="Q24" i="159"/>
  <c r="AO59" i="1" s="1"/>
  <c r="Q54" i="159"/>
  <c r="AO108" i="1" s="1"/>
  <c r="V54" i="159"/>
  <c r="V24" i="159"/>
  <c r="V386" i="159"/>
  <c r="V35" i="159"/>
  <c r="V45" i="159"/>
  <c r="V241" i="159"/>
  <c r="Q53" i="159"/>
  <c r="AO84" i="1" s="1"/>
  <c r="V249" i="159"/>
  <c r="Q35" i="159"/>
  <c r="AO155" i="1" s="1"/>
  <c r="Q247" i="159"/>
  <c r="AO388" i="1" s="1"/>
  <c r="Z37" i="1"/>
  <c r="Q241" i="159"/>
  <c r="AO285" i="1" s="1"/>
  <c r="V25" i="159"/>
  <c r="V396" i="159"/>
  <c r="Q42" i="159"/>
  <c r="AO360" i="1" s="1"/>
  <c r="Q64" i="159"/>
  <c r="AO221" i="1" s="1"/>
  <c r="V409" i="159"/>
  <c r="Q39" i="159"/>
  <c r="AO191" i="1" s="1"/>
  <c r="V53" i="159"/>
  <c r="Q407" i="159"/>
  <c r="AO219" i="1" s="1"/>
  <c r="V87" i="159"/>
  <c r="Q406" i="159"/>
  <c r="AO214" i="1" s="1"/>
  <c r="V246" i="159"/>
  <c r="Q56" i="159"/>
  <c r="AO238" i="1" s="1"/>
  <c r="Q386" i="159"/>
  <c r="AO197" i="1" s="1"/>
  <c r="Q48" i="159"/>
  <c r="AO364" i="1" s="1"/>
  <c r="V57" i="159"/>
  <c r="Q87" i="159"/>
  <c r="AO224" i="1" s="1"/>
  <c r="Q52" i="159"/>
  <c r="AO156" i="1" s="1"/>
  <c r="Q243" i="159"/>
  <c r="AO394" i="1" s="1"/>
  <c r="Q388" i="159"/>
  <c r="AO174" i="1" s="1"/>
  <c r="Q401" i="159"/>
  <c r="AO332" i="1" s="1"/>
  <c r="V406" i="159"/>
  <c r="Q393" i="159"/>
  <c r="AO206" i="1" s="1"/>
  <c r="Q158" i="159"/>
  <c r="AO401" i="1" s="1"/>
  <c r="Q248" i="159"/>
  <c r="AO327" i="1" s="1"/>
  <c r="V139" i="159"/>
  <c r="Q167" i="159"/>
  <c r="AO250" i="1" s="1"/>
  <c r="Q90" i="159"/>
  <c r="AO133" i="1" s="1"/>
  <c r="Q408" i="159"/>
  <c r="AO217" i="1" s="1"/>
  <c r="Q65" i="159"/>
  <c r="AO154" i="1" s="1"/>
  <c r="Q400" i="159"/>
  <c r="AO380" i="1" s="1"/>
  <c r="V243" i="159"/>
  <c r="V52" i="159"/>
  <c r="Q47" i="159"/>
  <c r="AO192" i="1" s="1"/>
  <c r="Q49" i="159"/>
  <c r="AO62" i="1" s="1"/>
  <c r="Q399" i="159"/>
  <c r="AO176" i="1" s="1"/>
  <c r="Q63" i="159"/>
  <c r="AO184" i="1" s="1"/>
  <c r="Q46" i="159"/>
  <c r="AO384" i="1" s="1"/>
  <c r="AP384" i="1" s="1"/>
  <c r="AQ384" i="1" s="1"/>
  <c r="AR384" i="1" s="1"/>
  <c r="AS384" i="1" s="1"/>
  <c r="V41" i="159"/>
  <c r="Q165" i="159"/>
  <c r="AO75" i="1" s="1"/>
  <c r="Q402" i="159"/>
  <c r="AO212" i="1" s="1"/>
  <c r="V62" i="159"/>
  <c r="Q61" i="159"/>
  <c r="AO85" i="1" s="1"/>
  <c r="Q58" i="159"/>
  <c r="AO298" i="1" s="1"/>
  <c r="Q252" i="159"/>
  <c r="AO68" i="1" s="1"/>
  <c r="Q163" i="159"/>
  <c r="AO76" i="1" s="1"/>
  <c r="Q159" i="159"/>
  <c r="AO330" i="1" s="1"/>
  <c r="Q404" i="159"/>
  <c r="AO209" i="1" s="1"/>
  <c r="Q59" i="159"/>
  <c r="AO166" i="1" s="1"/>
  <c r="Q55" i="159"/>
  <c r="AO376" i="1" s="1"/>
  <c r="V64" i="159"/>
  <c r="Q394" i="159"/>
  <c r="AO185" i="1" s="1"/>
  <c r="Q57" i="159"/>
  <c r="AO362" i="1" s="1"/>
  <c r="Q26" i="159"/>
  <c r="AO339" i="1" s="1"/>
  <c r="Q37" i="159"/>
  <c r="AO172" i="1" s="1"/>
  <c r="Q43" i="159"/>
  <c r="AO105" i="1" s="1"/>
  <c r="Q387" i="159"/>
  <c r="AO198" i="1" s="1"/>
  <c r="V91" i="159"/>
  <c r="V51" i="159"/>
  <c r="V392" i="159"/>
  <c r="Q239" i="159"/>
  <c r="AO409" i="1" s="1"/>
  <c r="V163" i="159"/>
  <c r="Q245" i="159"/>
  <c r="AO249" i="1" s="1"/>
  <c r="V395" i="159"/>
  <c r="Q251" i="159"/>
  <c r="AO325" i="1" s="1"/>
  <c r="Q246" i="159"/>
  <c r="AO395" i="1" s="1"/>
  <c r="Q409" i="159"/>
  <c r="AO204" i="1" s="1"/>
  <c r="V58" i="159"/>
  <c r="V402" i="159"/>
  <c r="Q45" i="159"/>
  <c r="AO361" i="1" s="1"/>
  <c r="V88" i="159"/>
  <c r="V33" i="159"/>
  <c r="Q397" i="159"/>
  <c r="AO240" i="1" s="1"/>
  <c r="V34" i="159"/>
  <c r="V252" i="159"/>
  <c r="Q36" i="159"/>
  <c r="AO236" i="1" s="1"/>
  <c r="Q38" i="159"/>
  <c r="AO158" i="1" s="1"/>
  <c r="Q62" i="159"/>
  <c r="AO80" i="1" s="1"/>
  <c r="Q154" i="159"/>
  <c r="AO399" i="1" s="1"/>
  <c r="Q169" i="159"/>
  <c r="AO88" i="1" s="1"/>
  <c r="Q389" i="159"/>
  <c r="AO160" i="1" s="1"/>
  <c r="V43" i="159"/>
  <c r="Q170" i="159"/>
  <c r="AO261" i="1" s="1"/>
  <c r="Q139" i="159"/>
  <c r="AO64" i="1" s="1"/>
  <c r="V40" i="159"/>
  <c r="Q156" i="159"/>
  <c r="AO143" i="1" s="1"/>
  <c r="Q410" i="159"/>
  <c r="AO186" i="1" s="1"/>
  <c r="AP186" i="1" s="1"/>
  <c r="AQ186" i="1" s="1"/>
  <c r="AR186" i="1" s="1"/>
  <c r="AS186" i="1" s="1"/>
  <c r="V157" i="159"/>
  <c r="Q34" i="159"/>
  <c r="AO299" i="1" s="1"/>
  <c r="V49" i="159"/>
  <c r="Q250" i="159"/>
  <c r="AO246" i="1" s="1"/>
  <c r="V171" i="159"/>
  <c r="V401" i="159"/>
  <c r="V388" i="159"/>
  <c r="V244" i="159"/>
  <c r="V50" i="159"/>
  <c r="Q398" i="159"/>
  <c r="AO178" i="1" s="1"/>
  <c r="V89" i="159"/>
  <c r="V60" i="159"/>
  <c r="Q33" i="159"/>
  <c r="AO194" i="1" s="1"/>
  <c r="V166" i="159"/>
  <c r="V55" i="159"/>
  <c r="V393" i="159"/>
  <c r="Q405" i="159"/>
  <c r="AO220" i="1" s="1"/>
  <c r="V138" i="159"/>
  <c r="Q91" i="159"/>
  <c r="AO230" i="1" s="1"/>
  <c r="V36" i="159"/>
  <c r="V158" i="159"/>
  <c r="Q138" i="159"/>
  <c r="AO291" i="1" s="1"/>
  <c r="V165" i="159"/>
  <c r="Q51" i="159"/>
  <c r="AO371" i="1" s="1"/>
  <c r="V408" i="159"/>
  <c r="V37" i="159"/>
  <c r="Q392" i="159"/>
  <c r="AO203" i="1" s="1"/>
  <c r="Q395" i="159"/>
  <c r="AO210" i="1" s="1"/>
  <c r="V38" i="159"/>
  <c r="Q88" i="159"/>
  <c r="AO315" i="1" s="1"/>
  <c r="V46" i="159"/>
  <c r="V387" i="159"/>
  <c r="V47" i="159"/>
  <c r="V39" i="159"/>
  <c r="Q155" i="159"/>
  <c r="AO329" i="1" s="1"/>
  <c r="Q242" i="159"/>
  <c r="AO328" i="1" s="1"/>
  <c r="Q160" i="159"/>
  <c r="AO284" i="1" s="1"/>
  <c r="Q166" i="159"/>
  <c r="AO237" i="1" s="1"/>
  <c r="Q157" i="159"/>
  <c r="AO182" i="1" s="1"/>
  <c r="V390" i="159"/>
  <c r="V48" i="159"/>
  <c r="Q403" i="159"/>
  <c r="AO208" i="1" s="1"/>
  <c r="Q25" i="159"/>
  <c r="AO60" i="1" s="1"/>
  <c r="P356" i="159"/>
  <c r="AN107" i="1" s="1"/>
  <c r="T356" i="159"/>
  <c r="U356" i="159"/>
  <c r="S73" i="159"/>
  <c r="P22" i="159"/>
  <c r="AN271" i="1" s="1"/>
  <c r="U22" i="159"/>
  <c r="T22" i="159"/>
  <c r="Q217" i="159"/>
  <c r="AO275" i="1" s="1"/>
  <c r="V217" i="159"/>
  <c r="Q197" i="159"/>
  <c r="AO146" i="1" s="1"/>
  <c r="V197" i="159"/>
  <c r="Q168" i="159"/>
  <c r="AO44" i="1" s="1"/>
  <c r="V168" i="159"/>
  <c r="V280" i="159"/>
  <c r="Q280" i="159"/>
  <c r="AO15" i="1" s="1"/>
  <c r="V161" i="159"/>
  <c r="Q161" i="159"/>
  <c r="AO74" i="1" s="1"/>
  <c r="Q292" i="159"/>
  <c r="AO28" i="1" s="1"/>
  <c r="V292" i="159"/>
  <c r="V113" i="159"/>
  <c r="Q113" i="159"/>
  <c r="AO140" i="1" s="1"/>
  <c r="V148" i="159"/>
  <c r="Q148" i="159"/>
  <c r="AO379" i="1" s="1"/>
  <c r="Q281" i="159"/>
  <c r="AO276" i="1" s="1"/>
  <c r="V281" i="159"/>
  <c r="Q200" i="159"/>
  <c r="AO18" i="1" s="1"/>
  <c r="V200" i="159"/>
  <c r="Q50" i="159"/>
  <c r="AO150" i="1" s="1"/>
  <c r="Q102" i="159"/>
  <c r="AO101" i="1" s="1"/>
  <c r="V102" i="159"/>
  <c r="Q301" i="159"/>
  <c r="AO292" i="1" s="1"/>
  <c r="V301" i="159"/>
  <c r="Q100" i="159"/>
  <c r="AO333" i="1" s="1"/>
  <c r="V100" i="159"/>
  <c r="Q183" i="159"/>
  <c r="AO161" i="1" s="1"/>
  <c r="V183" i="159"/>
  <c r="Q265" i="159"/>
  <c r="AO288" i="1" s="1"/>
  <c r="V265" i="159"/>
  <c r="Q226" i="159"/>
  <c r="AO389" i="1" s="1"/>
  <c r="V226" i="159"/>
  <c r="Q224" i="159"/>
  <c r="AO393" i="1" s="1"/>
  <c r="V224" i="159"/>
  <c r="Q255" i="159"/>
  <c r="AO120" i="1" s="1"/>
  <c r="V255" i="159"/>
  <c r="Q344" i="159"/>
  <c r="AO130" i="1" s="1"/>
  <c r="V344" i="159"/>
  <c r="Q137" i="159"/>
  <c r="AO255" i="1" s="1"/>
  <c r="V137" i="159"/>
  <c r="Q27" i="159"/>
  <c r="AO123" i="1" s="1"/>
  <c r="V27" i="159"/>
  <c r="V294" i="159"/>
  <c r="Q294" i="159"/>
  <c r="AO348" i="1" s="1"/>
  <c r="Q277" i="159"/>
  <c r="AO353" i="1" s="1"/>
  <c r="V277" i="159"/>
  <c r="Q115" i="159"/>
  <c r="AO95" i="1" s="1"/>
  <c r="V115" i="159"/>
  <c r="T81" i="159"/>
  <c r="U81" i="159"/>
  <c r="P347" i="159"/>
  <c r="AN366" i="1" s="1"/>
  <c r="U347" i="159"/>
  <c r="T347" i="159"/>
  <c r="P332" i="159"/>
  <c r="AN317" i="1" s="1"/>
  <c r="U332" i="159"/>
  <c r="T332" i="159"/>
  <c r="P365" i="159"/>
  <c r="AN104" i="1" s="1"/>
  <c r="U365" i="159"/>
  <c r="T365" i="159"/>
  <c r="P370" i="159"/>
  <c r="AN149" i="1" s="1"/>
  <c r="U370" i="159"/>
  <c r="T370" i="159"/>
  <c r="T360" i="159"/>
  <c r="U360" i="159"/>
  <c r="T321" i="159"/>
  <c r="U321" i="159"/>
  <c r="P303" i="159"/>
  <c r="AN37" i="1" s="1"/>
  <c r="U303" i="159"/>
  <c r="T303" i="159"/>
  <c r="V397" i="159"/>
  <c r="V245" i="159"/>
  <c r="Q307" i="159"/>
  <c r="AO351" i="1" s="1"/>
  <c r="V307" i="159"/>
  <c r="V221" i="159"/>
  <c r="Q221" i="159"/>
  <c r="AO392" i="1" s="1"/>
  <c r="Q9" i="159"/>
  <c r="AO117" i="1" s="1"/>
  <c r="V9" i="159"/>
  <c r="Q110" i="159"/>
  <c r="AO54" i="1" s="1"/>
  <c r="V110" i="159"/>
  <c r="Q259" i="159"/>
  <c r="AO358" i="1" s="1"/>
  <c r="V259" i="159"/>
  <c r="Q227" i="159"/>
  <c r="AO144" i="1" s="1"/>
  <c r="V227" i="159"/>
  <c r="V116" i="159"/>
  <c r="Q116" i="159"/>
  <c r="AO245" i="1" s="1"/>
  <c r="Q192" i="159"/>
  <c r="AO349" i="1" s="1"/>
  <c r="V192" i="159"/>
  <c r="Q290" i="159"/>
  <c r="AO102" i="1" s="1"/>
  <c r="V290" i="159"/>
  <c r="Q162" i="159"/>
  <c r="AO274" i="1" s="1"/>
  <c r="V162" i="159"/>
  <c r="V253" i="159"/>
  <c r="Q253" i="159"/>
  <c r="AO82" i="1" s="1"/>
  <c r="V317" i="159"/>
  <c r="Q317" i="159"/>
  <c r="AO266" i="1" s="1"/>
  <c r="Q205" i="159"/>
  <c r="AO273" i="1" s="1"/>
  <c r="AP273" i="1" s="1"/>
  <c r="AQ273" i="1" s="1"/>
  <c r="AR273" i="1" s="1"/>
  <c r="AS273" i="1" s="1"/>
  <c r="V205" i="159"/>
  <c r="Q30" i="159"/>
  <c r="AO119" i="1" s="1"/>
  <c r="V30" i="159"/>
  <c r="V198" i="159"/>
  <c r="Q198" i="159"/>
  <c r="AO106" i="1" s="1"/>
  <c r="Q146" i="159"/>
  <c r="AO69" i="1" s="1"/>
  <c r="V146" i="159"/>
  <c r="Q258" i="159"/>
  <c r="AO153" i="1" s="1"/>
  <c r="V258" i="159"/>
  <c r="Q234" i="159"/>
  <c r="AO406" i="1" s="1"/>
  <c r="V234" i="159"/>
  <c r="V262" i="159"/>
  <c r="Q262" i="159"/>
  <c r="AO45" i="1" s="1"/>
  <c r="V90" i="159"/>
  <c r="V403" i="159"/>
  <c r="V405" i="159"/>
  <c r="V242" i="159"/>
  <c r="Q89" i="159"/>
  <c r="AO408" i="1" s="1"/>
  <c r="V185" i="159"/>
  <c r="Q185" i="159"/>
  <c r="AO205" i="1" s="1"/>
  <c r="Q263" i="159"/>
  <c r="AO300" i="1" s="1"/>
  <c r="V263" i="159"/>
  <c r="Q190" i="159"/>
  <c r="AO279" i="1" s="1"/>
  <c r="V190" i="159"/>
  <c r="Q270" i="159"/>
  <c r="AO196" i="1" s="1"/>
  <c r="AP196" i="1" s="1"/>
  <c r="AQ196" i="1" s="1"/>
  <c r="AR196" i="1" s="1"/>
  <c r="AS196" i="1" s="1"/>
  <c r="V270" i="159"/>
  <c r="Q229" i="159"/>
  <c r="AO78" i="1" s="1"/>
  <c r="V229" i="159"/>
  <c r="Q112" i="159"/>
  <c r="AO247" i="1" s="1"/>
  <c r="V112" i="159"/>
  <c r="Q199" i="159"/>
  <c r="AO277" i="1" s="1"/>
  <c r="V199" i="159"/>
  <c r="Q67" i="159"/>
  <c r="AO23" i="1" s="1"/>
  <c r="V67" i="159"/>
  <c r="Q124" i="159"/>
  <c r="AO51" i="1" s="1"/>
  <c r="V124" i="159"/>
  <c r="V63" i="159"/>
  <c r="Q60" i="159"/>
  <c r="AO313" i="1" s="1"/>
  <c r="Q390" i="159"/>
  <c r="AO181" i="1" s="1"/>
  <c r="V170" i="159"/>
  <c r="V167" i="159"/>
  <c r="V239" i="159"/>
  <c r="Q314" i="159"/>
  <c r="AO218" i="1" s="1"/>
  <c r="V314" i="159"/>
  <c r="Q308" i="159"/>
  <c r="AO386" i="1" s="1"/>
  <c r="V308" i="159"/>
  <c r="Q272" i="159"/>
  <c r="AO405" i="1" s="1"/>
  <c r="V272" i="159"/>
  <c r="Q266" i="159"/>
  <c r="AO411" i="1" s="1"/>
  <c r="AP411" i="1" s="1"/>
  <c r="AQ411" i="1" s="1"/>
  <c r="AR411" i="1" s="1"/>
  <c r="AS411" i="1" s="1"/>
  <c r="V266" i="159"/>
  <c r="Q296" i="159"/>
  <c r="AO58" i="1" s="1"/>
  <c r="V296" i="159"/>
  <c r="V268" i="159"/>
  <c r="Q268" i="159"/>
  <c r="AO334" i="1" s="1"/>
  <c r="V13" i="159"/>
  <c r="Q13" i="159"/>
  <c r="AO118" i="1" s="1"/>
  <c r="Q122" i="159"/>
  <c r="AO55" i="1" s="1"/>
  <c r="V122" i="159"/>
  <c r="Q8" i="159"/>
  <c r="AO302" i="1" s="1"/>
  <c r="V8" i="159"/>
  <c r="P364" i="159"/>
  <c r="AN370" i="1" s="1"/>
  <c r="T364" i="159"/>
  <c r="U364" i="159"/>
  <c r="U383" i="159"/>
  <c r="T383" i="159"/>
  <c r="U320" i="159"/>
  <c r="T320" i="159"/>
  <c r="P359" i="159"/>
  <c r="AN345" i="1" s="1"/>
  <c r="U359" i="159"/>
  <c r="T359" i="159"/>
  <c r="U78" i="159"/>
  <c r="T78" i="159"/>
  <c r="P366" i="159"/>
  <c r="AN385" i="1" s="1"/>
  <c r="U366" i="159"/>
  <c r="T366" i="159"/>
  <c r="U212" i="159"/>
  <c r="T212" i="159"/>
  <c r="T213" i="159"/>
  <c r="U213" i="159"/>
  <c r="U238" i="159"/>
  <c r="T238" i="159"/>
  <c r="V159" i="159"/>
  <c r="Q105" i="159"/>
  <c r="AO248" i="1" s="1"/>
  <c r="V105" i="159"/>
  <c r="Q72" i="159"/>
  <c r="AO352" i="1" s="1"/>
  <c r="V72" i="159"/>
  <c r="Q220" i="159"/>
  <c r="AO152" i="1" s="1"/>
  <c r="V220" i="159"/>
  <c r="Q223" i="159"/>
  <c r="AO142" i="1" s="1"/>
  <c r="V223" i="159"/>
  <c r="Q141" i="159"/>
  <c r="AO169" i="1" s="1"/>
  <c r="V141" i="159"/>
  <c r="V235" i="159"/>
  <c r="Q235" i="159"/>
  <c r="AO112" i="1" s="1"/>
  <c r="V216" i="159"/>
  <c r="Q216" i="159"/>
  <c r="AO322" i="1" s="1"/>
  <c r="Q304" i="159"/>
  <c r="AO21" i="1" s="1"/>
  <c r="V304" i="159"/>
  <c r="Q203" i="159"/>
  <c r="AO14" i="1" s="1"/>
  <c r="V203" i="159"/>
  <c r="Q396" i="159"/>
  <c r="AO202" i="1" s="1"/>
  <c r="Q71" i="159"/>
  <c r="AO305" i="1" s="1"/>
  <c r="V71" i="159"/>
  <c r="Q219" i="159"/>
  <c r="AO402" i="1" s="1"/>
  <c r="V219" i="159"/>
  <c r="Q103" i="159"/>
  <c r="AO135" i="1" s="1"/>
  <c r="V103" i="159"/>
  <c r="Q151" i="159"/>
  <c r="AO314" i="1" s="1"/>
  <c r="V151" i="159"/>
  <c r="V143" i="159"/>
  <c r="Q143" i="159"/>
  <c r="AO311" i="1" s="1"/>
  <c r="Q267" i="159"/>
  <c r="AO61" i="1" s="1"/>
  <c r="V267" i="159"/>
  <c r="Q300" i="159"/>
  <c r="AO294" i="1" s="1"/>
  <c r="V300" i="159"/>
  <c r="V21" i="159"/>
  <c r="Q21" i="159"/>
  <c r="AO79" i="1" s="1"/>
  <c r="V315" i="159"/>
  <c r="Q315" i="159"/>
  <c r="AO267" i="1" s="1"/>
  <c r="Q309" i="159"/>
  <c r="AO25" i="1" s="1"/>
  <c r="V309" i="159"/>
  <c r="Q144" i="159"/>
  <c r="AO312" i="1" s="1"/>
  <c r="V144" i="159"/>
  <c r="Q236" i="159"/>
  <c r="AO323" i="1" s="1"/>
  <c r="V236" i="159"/>
  <c r="Q318" i="159"/>
  <c r="AO262" i="1" s="1"/>
  <c r="V318" i="159"/>
  <c r="Q287" i="159"/>
  <c r="AO335" i="1" s="1"/>
  <c r="AP335" i="1" s="1"/>
  <c r="AQ335" i="1" s="1"/>
  <c r="AR335" i="1" s="1"/>
  <c r="AS335" i="1" s="1"/>
  <c r="V287" i="159"/>
  <c r="U85" i="159"/>
  <c r="T85" i="159"/>
  <c r="U348" i="159"/>
  <c r="T348" i="159"/>
  <c r="U77" i="159"/>
  <c r="T77" i="159"/>
  <c r="P201" i="159"/>
  <c r="AN400" i="1" s="1"/>
  <c r="S201" i="159"/>
  <c r="R201" i="159"/>
  <c r="Q19" i="159"/>
  <c r="AO38" i="1" s="1"/>
  <c r="V19" i="159"/>
  <c r="V407" i="159"/>
  <c r="V169" i="159"/>
  <c r="Q310" i="159"/>
  <c r="AO77" i="1" s="1"/>
  <c r="V310" i="159"/>
  <c r="Q172" i="159"/>
  <c r="AO244" i="1" s="1"/>
  <c r="V172" i="159"/>
  <c r="Q106" i="159"/>
  <c r="AO103" i="1" s="1"/>
  <c r="V106" i="159"/>
  <c r="Q264" i="159"/>
  <c r="AO113" i="1" s="1"/>
  <c r="V264" i="159"/>
  <c r="V76" i="159"/>
  <c r="Q76" i="159"/>
  <c r="AO306" i="1" s="1"/>
  <c r="Q150" i="159"/>
  <c r="AO67" i="1" s="1"/>
  <c r="V150" i="159"/>
  <c r="Q114" i="159"/>
  <c r="AO251" i="1" s="1"/>
  <c r="V114" i="159"/>
  <c r="Q311" i="159"/>
  <c r="AO57" i="1" s="1"/>
  <c r="V311" i="159"/>
  <c r="V341" i="159"/>
  <c r="Q341" i="159"/>
  <c r="AO126" i="1" s="1"/>
  <c r="V42" i="159"/>
  <c r="V156" i="159"/>
  <c r="V389" i="159"/>
  <c r="V247" i="159"/>
  <c r="V400" i="159"/>
  <c r="Q196" i="159"/>
  <c r="AO356" i="1" s="1"/>
  <c r="V196" i="159"/>
  <c r="V121" i="159"/>
  <c r="Q121" i="159"/>
  <c r="AO139" i="1" s="1"/>
  <c r="Q302" i="159"/>
  <c r="AO341" i="1" s="1"/>
  <c r="V302" i="159"/>
  <c r="V184" i="159"/>
  <c r="Q184" i="159"/>
  <c r="AO145" i="1" s="1"/>
  <c r="V23" i="159"/>
  <c r="Q23" i="159"/>
  <c r="AO331" i="1" s="1"/>
  <c r="Q29" i="159"/>
  <c r="AO86" i="1" s="1"/>
  <c r="V29" i="159"/>
  <c r="Q316" i="159"/>
  <c r="AO265" i="1" s="1"/>
  <c r="V316" i="159"/>
  <c r="Q131" i="159"/>
  <c r="AO53" i="1" s="1"/>
  <c r="V131" i="159"/>
  <c r="V65" i="159"/>
  <c r="Q40" i="159"/>
  <c r="AO290" i="1" s="1"/>
  <c r="V251" i="159"/>
  <c r="V155" i="159"/>
  <c r="V398" i="159"/>
  <c r="V286" i="159"/>
  <c r="Q286" i="159"/>
  <c r="AO109" i="1" s="1"/>
  <c r="Q202" i="159"/>
  <c r="AO359" i="1" s="1"/>
  <c r="V202" i="159"/>
  <c r="Q96" i="159"/>
  <c r="AO177" i="1" s="1"/>
  <c r="V96" i="159"/>
  <c r="Q269" i="159"/>
  <c r="AO260" i="1" s="1"/>
  <c r="V269" i="159"/>
  <c r="Q120" i="159"/>
  <c r="AO407" i="1" s="1"/>
  <c r="V120" i="159"/>
  <c r="Q187" i="159"/>
  <c r="AO403" i="1" s="1"/>
  <c r="AP403" i="1" s="1"/>
  <c r="AQ403" i="1" s="1"/>
  <c r="AR403" i="1" s="1"/>
  <c r="AS403" i="1" s="1"/>
  <c r="V187" i="159"/>
  <c r="Q275" i="159"/>
  <c r="AO282" i="1" s="1"/>
  <c r="V275" i="159"/>
  <c r="U357" i="159"/>
  <c r="T357" i="159"/>
  <c r="U385" i="159"/>
  <c r="T385" i="159"/>
  <c r="U352" i="159"/>
  <c r="T352" i="159"/>
  <c r="T376" i="159"/>
  <c r="U376" i="159"/>
  <c r="Q306" i="159"/>
  <c r="AO227" i="1" s="1"/>
  <c r="V306" i="159"/>
  <c r="Q101" i="159"/>
  <c r="AO159" i="1" s="1"/>
  <c r="V101" i="159"/>
  <c r="V193" i="159"/>
  <c r="Q193" i="159"/>
  <c r="AO243" i="1" s="1"/>
  <c r="Q147" i="159"/>
  <c r="AO65" i="1" s="1"/>
  <c r="V147" i="159"/>
  <c r="V271" i="159"/>
  <c r="Q271" i="159"/>
  <c r="AO71" i="1" s="1"/>
  <c r="Q119" i="159"/>
  <c r="AO138" i="1" s="1"/>
  <c r="V119" i="159"/>
  <c r="V256" i="159"/>
  <c r="Q256" i="159"/>
  <c r="AO81" i="1" s="1"/>
  <c r="Q164" i="159"/>
  <c r="AO42" i="1" s="1"/>
  <c r="V164" i="159"/>
  <c r="V189" i="159"/>
  <c r="Q189" i="159"/>
  <c r="AO43" i="1" s="1"/>
  <c r="V14" i="159"/>
  <c r="Q14" i="159"/>
  <c r="AO320" i="1" s="1"/>
  <c r="Q381" i="159"/>
  <c r="AO29" i="1" s="1"/>
  <c r="V381" i="159"/>
  <c r="V154" i="159"/>
  <c r="V257" i="159"/>
  <c r="Q257" i="159"/>
  <c r="AO286" i="1" s="1"/>
  <c r="Q191" i="159"/>
  <c r="AO375" i="1" s="1"/>
  <c r="V191" i="159"/>
  <c r="Q18" i="159"/>
  <c r="AO116" i="1" s="1"/>
  <c r="V18" i="159"/>
  <c r="Q233" i="159"/>
  <c r="AO70" i="1" s="1"/>
  <c r="V233" i="159"/>
  <c r="Q133" i="159"/>
  <c r="AO100" i="1" s="1"/>
  <c r="V133" i="159"/>
  <c r="Q182" i="159"/>
  <c r="AO151" i="1" s="1"/>
  <c r="V182" i="159"/>
  <c r="Q379" i="159"/>
  <c r="AO207" i="1" s="1"/>
  <c r="V379" i="159"/>
  <c r="Q282" i="159"/>
  <c r="AO32" i="1" s="1"/>
  <c r="V282" i="159"/>
  <c r="Q20" i="159"/>
  <c r="AO115" i="1" s="1"/>
  <c r="V20" i="159"/>
  <c r="Q343" i="159"/>
  <c r="AO228" i="1" s="1"/>
  <c r="AP228" i="1" s="1"/>
  <c r="AQ228" i="1" s="1"/>
  <c r="AR228" i="1" s="1"/>
  <c r="AS228" i="1" s="1"/>
  <c r="V343" i="159"/>
  <c r="Q319" i="159"/>
  <c r="AO6" i="1" s="1"/>
  <c r="V319" i="159"/>
  <c r="P104" i="159"/>
  <c r="AN137" i="1" s="1"/>
  <c r="S104" i="159"/>
  <c r="R104" i="159"/>
  <c r="U12" i="159"/>
  <c r="T12" i="159"/>
  <c r="Q254" i="159"/>
  <c r="AO11" i="1" s="1"/>
  <c r="V254" i="159"/>
  <c r="V305" i="159"/>
  <c r="Q305" i="159"/>
  <c r="AO36" i="1" s="1"/>
  <c r="Q41" i="159"/>
  <c r="AO373" i="1" s="1"/>
  <c r="V313" i="159"/>
  <c r="Q313" i="159"/>
  <c r="AO343" i="1" s="1"/>
  <c r="V225" i="159"/>
  <c r="Q225" i="159"/>
  <c r="AO383" i="1" s="1"/>
  <c r="Q135" i="159"/>
  <c r="AO141" i="1" s="1"/>
  <c r="V135" i="159"/>
  <c r="Q273" i="159"/>
  <c r="AO223" i="1" s="1"/>
  <c r="V273" i="159"/>
  <c r="Q174" i="159"/>
  <c r="AO66" i="1" s="1"/>
  <c r="V174" i="159"/>
  <c r="Q149" i="159"/>
  <c r="AO170" i="1" s="1"/>
  <c r="V149" i="159"/>
  <c r="Q283" i="159"/>
  <c r="AO254" i="1" s="1"/>
  <c r="V283" i="159"/>
  <c r="V108" i="159"/>
  <c r="Q108" i="159"/>
  <c r="AO216" i="1" s="1"/>
  <c r="Q75" i="159"/>
  <c r="AO222" i="1" s="1"/>
  <c r="V75" i="159"/>
  <c r="V399" i="159"/>
  <c r="Q244" i="159"/>
  <c r="AO326" i="1" s="1"/>
  <c r="V61" i="159"/>
  <c r="Q127" i="159"/>
  <c r="AO187" i="1" s="1"/>
  <c r="V127" i="159"/>
  <c r="Q118" i="159"/>
  <c r="AO188" i="1" s="1"/>
  <c r="V118" i="159"/>
  <c r="V134" i="159"/>
  <c r="Q134" i="159"/>
  <c r="AO157" i="1" s="1"/>
  <c r="Q186" i="159"/>
  <c r="AO92" i="1" s="1"/>
  <c r="V186" i="159"/>
  <c r="Q298" i="159"/>
  <c r="AO72" i="1" s="1"/>
  <c r="V298" i="159"/>
  <c r="Q95" i="159"/>
  <c r="AO175" i="1" s="1"/>
  <c r="V95" i="159"/>
  <c r="Q171" i="159"/>
  <c r="AO281" i="1" s="1"/>
  <c r="V59" i="159"/>
  <c r="V250" i="159"/>
  <c r="V26" i="159"/>
  <c r="V160" i="159"/>
  <c r="V56" i="159"/>
  <c r="V410" i="159"/>
  <c r="Q126" i="159"/>
  <c r="AO167" i="1" s="1"/>
  <c r="V126" i="159"/>
  <c r="Q132" i="159"/>
  <c r="AO136" i="1" s="1"/>
  <c r="V132" i="159"/>
  <c r="Q218" i="159"/>
  <c r="AO350" i="1" s="1"/>
  <c r="V218" i="159"/>
  <c r="Q194" i="159"/>
  <c r="AO134" i="1" s="1"/>
  <c r="V194" i="159"/>
  <c r="S136" i="159"/>
  <c r="R136" i="159"/>
  <c r="P378" i="159"/>
  <c r="AN90" i="1" s="1"/>
  <c r="U378" i="159"/>
  <c r="T378" i="159"/>
  <c r="U324" i="159"/>
  <c r="T324" i="159"/>
  <c r="P361" i="159"/>
  <c r="AN94" i="1" s="1"/>
  <c r="U361" i="159"/>
  <c r="T361" i="159"/>
  <c r="S339" i="159"/>
  <c r="R339" i="159"/>
  <c r="S340" i="159"/>
  <c r="R340" i="159"/>
  <c r="V125" i="159"/>
  <c r="Q125" i="159"/>
  <c r="AO179" i="1" s="1"/>
  <c r="Q279" i="159"/>
  <c r="AO412" i="1" s="1"/>
  <c r="V279" i="159"/>
  <c r="Q312" i="159"/>
  <c r="AO259" i="1" s="1"/>
  <c r="V312" i="159"/>
  <c r="Q123" i="159"/>
  <c r="AO50" i="1" s="1"/>
  <c r="V123" i="159"/>
  <c r="Q291" i="159"/>
  <c r="AO63" i="1" s="1"/>
  <c r="V291" i="159"/>
  <c r="V195" i="159"/>
  <c r="Q195" i="159"/>
  <c r="AO147" i="1" s="1"/>
  <c r="Q295" i="159"/>
  <c r="AO114" i="1" s="1"/>
  <c r="V295" i="159"/>
  <c r="Q16" i="159"/>
  <c r="AO242" i="1" s="1"/>
  <c r="V16" i="159"/>
  <c r="V248" i="159"/>
  <c r="V394" i="159"/>
  <c r="Q93" i="159"/>
  <c r="AO190" i="1" s="1"/>
  <c r="V93" i="159"/>
  <c r="V289" i="159"/>
  <c r="Q289" i="159"/>
  <c r="AO239" i="1" s="1"/>
  <c r="Q297" i="159"/>
  <c r="AO229" i="1" s="1"/>
  <c r="V297" i="159"/>
  <c r="Q15" i="159"/>
  <c r="AO309" i="1" s="1"/>
  <c r="V15" i="159"/>
  <c r="Q130" i="159"/>
  <c r="AO98" i="1" s="1"/>
  <c r="V130" i="159"/>
  <c r="Q99" i="159"/>
  <c r="AO235" i="1" s="1"/>
  <c r="V99" i="159"/>
  <c r="Q181" i="159"/>
  <c r="AO8" i="1" s="1"/>
  <c r="V181" i="159"/>
  <c r="Q66" i="159"/>
  <c r="AO83" i="1" s="1"/>
  <c r="V66" i="159"/>
  <c r="Q278" i="159"/>
  <c r="AO280" i="1" s="1"/>
  <c r="V278" i="159"/>
  <c r="V177" i="159"/>
  <c r="Q177" i="159"/>
  <c r="AO195" i="1" s="1"/>
  <c r="Q261" i="159"/>
  <c r="AO354" i="1" s="1"/>
  <c r="V261" i="159"/>
  <c r="V69" i="159"/>
  <c r="Q69" i="159"/>
  <c r="AO263" i="1" s="1"/>
  <c r="U208" i="159"/>
  <c r="T208" i="159"/>
  <c r="P336" i="159"/>
  <c r="AN46" i="1" s="1"/>
  <c r="U336" i="159"/>
  <c r="T336" i="159"/>
  <c r="Q179" i="159"/>
  <c r="AO256" i="1" s="1"/>
  <c r="AP256" i="1" s="1"/>
  <c r="AQ256" i="1" s="1"/>
  <c r="AR256" i="1" s="1"/>
  <c r="AS256" i="1" s="1"/>
  <c r="V179" i="159"/>
  <c r="Q117" i="159"/>
  <c r="AO99" i="1" s="1"/>
  <c r="V117" i="159"/>
  <c r="Q128" i="159"/>
  <c r="AO96" i="1" s="1"/>
  <c r="V128" i="159"/>
  <c r="Q204" i="159"/>
  <c r="AO346" i="1" s="1"/>
  <c r="V204" i="159"/>
  <c r="Q276" i="159"/>
  <c r="AO336" i="1" s="1"/>
  <c r="V276" i="159"/>
  <c r="Q222" i="159"/>
  <c r="AO390" i="1" s="1"/>
  <c r="V222" i="159"/>
  <c r="Q178" i="159"/>
  <c r="AO73" i="1" s="1"/>
  <c r="V178" i="159"/>
  <c r="Q188" i="159"/>
  <c r="AO232" i="1" s="1"/>
  <c r="V188" i="159"/>
  <c r="Q70" i="159"/>
  <c r="AO39" i="1" s="1"/>
  <c r="V70" i="159"/>
  <c r="V231" i="159"/>
  <c r="Q231" i="159"/>
  <c r="AO308" i="1" s="1"/>
  <c r="Q175" i="159"/>
  <c r="AO404" i="1" s="1"/>
  <c r="V175" i="159"/>
  <c r="Q285" i="159"/>
  <c r="AO287" i="1" s="1"/>
  <c r="V285" i="159"/>
  <c r="Q11" i="159"/>
  <c r="AO231" i="1" s="1"/>
  <c r="V11" i="159"/>
  <c r="Q260" i="159"/>
  <c r="AO410" i="1" s="1"/>
  <c r="V260" i="159"/>
  <c r="Q111" i="159"/>
  <c r="AO225" i="1" s="1"/>
  <c r="V111" i="159"/>
  <c r="Q284" i="159"/>
  <c r="AO89" i="1" s="1"/>
  <c r="V284" i="159"/>
  <c r="Q228" i="159"/>
  <c r="AO324" i="1" s="1"/>
  <c r="V228" i="159"/>
  <c r="V140" i="159"/>
  <c r="Q140" i="159"/>
  <c r="AO268" i="1" s="1"/>
  <c r="Q153" i="159"/>
  <c r="AO41" i="1" s="1"/>
  <c r="V153" i="159"/>
  <c r="V6" i="159"/>
  <c r="Q6" i="159"/>
  <c r="AO125" i="1" s="1"/>
  <c r="Q28" i="159"/>
  <c r="AO295" i="1" s="1"/>
  <c r="V28" i="159"/>
  <c r="Q10" i="159"/>
  <c r="AO344" i="1" s="1"/>
  <c r="V10" i="159"/>
  <c r="V152" i="159"/>
  <c r="Q152" i="159"/>
  <c r="AO87" i="1" s="1"/>
  <c r="Q17" i="159"/>
  <c r="AO310" i="1" s="1"/>
  <c r="V17" i="159"/>
  <c r="Q97" i="159"/>
  <c r="AO97" i="1" s="1"/>
  <c r="V97" i="159"/>
  <c r="Q74" i="159"/>
  <c r="AO304" i="1" s="1"/>
  <c r="V74" i="159"/>
  <c r="V98" i="159"/>
  <c r="Q98" i="159"/>
  <c r="AO189" i="1" s="1"/>
  <c r="Q107" i="159"/>
  <c r="AO162" i="1" s="1"/>
  <c r="V107" i="159"/>
  <c r="N237" i="159"/>
  <c r="N92" i="159"/>
  <c r="O369" i="159"/>
  <c r="O351" i="159"/>
  <c r="O337" i="159"/>
  <c r="O206" i="159"/>
  <c r="O326" i="159"/>
  <c r="P77" i="159"/>
  <c r="AN347" i="1" s="1"/>
  <c r="O391" i="159"/>
  <c r="O323" i="159"/>
  <c r="O7" i="159"/>
  <c r="O136" i="159"/>
  <c r="P136" i="159" s="1"/>
  <c r="AN49" i="1" s="1"/>
  <c r="N85" i="159"/>
  <c r="N109" i="159"/>
  <c r="O340" i="159"/>
  <c r="P340" i="159" s="1"/>
  <c r="AN34" i="1" s="1"/>
  <c r="O180" i="159"/>
  <c r="O82" i="159"/>
  <c r="O367" i="159"/>
  <c r="P385" i="159"/>
  <c r="AN121" i="1" s="1"/>
  <c r="O382" i="159"/>
  <c r="O32" i="159"/>
  <c r="O328" i="159"/>
  <c r="P376" i="159"/>
  <c r="AN91" i="1" s="1"/>
  <c r="O240" i="159"/>
  <c r="O329" i="159"/>
  <c r="O274" i="159"/>
  <c r="O288" i="159"/>
  <c r="O330" i="159"/>
  <c r="O368" i="159"/>
  <c r="O333" i="159"/>
  <c r="O363" i="159"/>
  <c r="O214" i="159"/>
  <c r="O350" i="159"/>
  <c r="O209" i="159"/>
  <c r="O145" i="159"/>
  <c r="P12" i="159"/>
  <c r="AN270" i="1" s="1"/>
  <c r="P357" i="159"/>
  <c r="AN93" i="1" s="1"/>
  <c r="N240" i="159"/>
  <c r="N293" i="159"/>
  <c r="O293" i="159"/>
  <c r="O355" i="159"/>
  <c r="O339" i="159"/>
  <c r="O372" i="159"/>
  <c r="O377" i="159"/>
  <c r="O338" i="159"/>
  <c r="O354" i="159"/>
  <c r="O83" i="159"/>
  <c r="O5" i="159"/>
  <c r="P5" i="159" s="1"/>
  <c r="O84" i="159"/>
  <c r="O358" i="159"/>
  <c r="O299" i="159"/>
  <c r="O109" i="159"/>
  <c r="O322" i="159"/>
  <c r="O375" i="159"/>
  <c r="P208" i="159"/>
  <c r="AN252" i="1" s="1"/>
  <c r="O327" i="159"/>
  <c r="O349" i="159"/>
  <c r="O80" i="159"/>
  <c r="O215" i="159"/>
  <c r="O31" i="159"/>
  <c r="O362" i="159"/>
  <c r="O211" i="159"/>
  <c r="O325" i="159"/>
  <c r="O371" i="159"/>
  <c r="O92" i="159"/>
  <c r="O210" i="159"/>
  <c r="O331" i="159"/>
  <c r="O353" i="159"/>
  <c r="O384" i="159"/>
  <c r="O79" i="159"/>
  <c r="O374" i="159"/>
  <c r="O207" i="159"/>
  <c r="O335" i="159"/>
  <c r="O373" i="159"/>
  <c r="O334" i="159"/>
  <c r="O86" i="159"/>
  <c r="P352" i="159"/>
  <c r="AN110" i="1" s="1"/>
  <c r="P238" i="159"/>
  <c r="AN269" i="1" s="1"/>
  <c r="N7" i="159"/>
  <c r="O230" i="159"/>
  <c r="O342" i="159"/>
  <c r="P81" i="159"/>
  <c r="AN293" i="1" s="1"/>
  <c r="O346" i="159"/>
  <c r="P321" i="159"/>
  <c r="AN241" i="1" s="1"/>
  <c r="P360" i="159"/>
  <c r="AN368" i="1" s="1"/>
  <c r="P324" i="159"/>
  <c r="AN253" i="1" s="1"/>
  <c r="O237" i="159"/>
  <c r="P383" i="159"/>
  <c r="AN199" i="1" s="1"/>
  <c r="P78" i="159"/>
  <c r="AN264" i="1" s="1"/>
  <c r="P212" i="159"/>
  <c r="AN397" i="1" s="1"/>
  <c r="P213" i="159"/>
  <c r="AN171" i="1" s="1"/>
  <c r="O380" i="159"/>
  <c r="P348" i="159"/>
  <c r="AN357" i="1" s="1"/>
  <c r="P320" i="159"/>
  <c r="AN377" i="1" s="1"/>
  <c r="M54" i="71"/>
  <c r="O54" i="71" s="1"/>
  <c r="P54" i="71" s="1"/>
  <c r="O35" i="71"/>
  <c r="P35" i="71" s="1"/>
  <c r="M8" i="71"/>
  <c r="O8" i="71" s="1"/>
  <c r="P8" i="71" s="1"/>
  <c r="Z16" i="1"/>
  <c r="Z34" i="1"/>
  <c r="M53" i="71"/>
  <c r="O53" i="71" s="1"/>
  <c r="P53" i="71" s="1"/>
  <c r="M49" i="71"/>
  <c r="O49" i="71" s="1"/>
  <c r="P49" i="71" s="1"/>
  <c r="O51" i="71"/>
  <c r="P51" i="71" s="1"/>
  <c r="M22" i="71"/>
  <c r="O22" i="71" s="1"/>
  <c r="P22" i="71" s="1"/>
  <c r="O17" i="71"/>
  <c r="P17" i="71" s="1"/>
  <c r="M41" i="71"/>
  <c r="O41" i="71" s="1"/>
  <c r="P41" i="71" s="1"/>
  <c r="O26" i="71"/>
  <c r="P26" i="71" s="1"/>
  <c r="Z10" i="1"/>
  <c r="M5" i="71"/>
  <c r="O55" i="71"/>
  <c r="P55" i="71" s="1"/>
  <c r="N31" i="71"/>
  <c r="N5" i="71"/>
  <c r="N30" i="71"/>
  <c r="M37" i="71"/>
  <c r="N37" i="71"/>
  <c r="M20" i="71"/>
  <c r="N20" i="71"/>
  <c r="M30" i="71"/>
  <c r="M14" i="71"/>
  <c r="O14" i="71" s="1"/>
  <c r="P14" i="71" s="1"/>
  <c r="N9" i="71"/>
  <c r="M9" i="71"/>
  <c r="M31" i="71"/>
  <c r="O36" i="71"/>
  <c r="P36" i="71" s="1"/>
  <c r="N32" i="71"/>
  <c r="M32" i="71"/>
  <c r="M33" i="71"/>
  <c r="N33" i="71"/>
  <c r="O25" i="71"/>
  <c r="P25" i="71" s="1"/>
  <c r="N48" i="71"/>
  <c r="M48" i="71"/>
  <c r="O40" i="71"/>
  <c r="P40" i="71" s="1"/>
  <c r="O38" i="71"/>
  <c r="P38" i="71" s="1"/>
  <c r="O24" i="71"/>
  <c r="P24" i="71" s="1"/>
  <c r="O23" i="71"/>
  <c r="P23" i="71" s="1"/>
  <c r="AA19" i="1"/>
  <c r="O45" i="71"/>
  <c r="P45" i="71" s="1"/>
  <c r="AA52" i="1"/>
  <c r="AA26" i="1"/>
  <c r="Z19" i="1"/>
  <c r="Z26" i="1"/>
  <c r="Z52" i="1"/>
  <c r="Z13" i="1"/>
  <c r="O52" i="71"/>
  <c r="P52" i="71" s="1"/>
  <c r="O44" i="71"/>
  <c r="P44" i="71" s="1"/>
  <c r="AA27" i="1"/>
  <c r="O6" i="71"/>
  <c r="P6" i="71" s="1"/>
  <c r="N10" i="71"/>
  <c r="AA13" i="1"/>
  <c r="N42" i="71"/>
  <c r="O58" i="71"/>
  <c r="P58" i="71" s="1"/>
  <c r="O19" i="71"/>
  <c r="P19" i="71" s="1"/>
  <c r="O27" i="71"/>
  <c r="P27" i="71" s="1"/>
  <c r="O18" i="71"/>
  <c r="P18" i="71" s="1"/>
  <c r="O43" i="71"/>
  <c r="P43" i="71" s="1"/>
  <c r="AA47" i="1"/>
  <c r="Z20" i="1"/>
  <c r="Z27" i="1"/>
  <c r="Z47" i="1"/>
  <c r="Z49" i="1"/>
  <c r="N34" i="71"/>
  <c r="M42" i="71"/>
  <c r="N13" i="71"/>
  <c r="M16" i="71"/>
  <c r="M13" i="71"/>
  <c r="M21" i="71"/>
  <c r="N21" i="71"/>
  <c r="M10" i="71"/>
  <c r="O12" i="71"/>
  <c r="P12" i="71" s="1"/>
  <c r="N16" i="71"/>
  <c r="O39" i="71"/>
  <c r="P39" i="71" s="1"/>
  <c r="O47" i="71"/>
  <c r="P47" i="71" s="1"/>
  <c r="N46" i="71"/>
  <c r="M34" i="71"/>
  <c r="O29" i="71"/>
  <c r="P29" i="71" s="1"/>
  <c r="O15" i="71"/>
  <c r="P15" i="71" s="1"/>
  <c r="M46" i="71"/>
  <c r="AK3" i="1"/>
  <c r="Q129" i="159" l="1"/>
  <c r="AO226" i="1" s="1"/>
  <c r="AP226" i="1" s="1"/>
  <c r="AQ226" i="1" s="1"/>
  <c r="AR226" i="1" s="1"/>
  <c r="AS226" i="1" s="1"/>
  <c r="V94" i="159"/>
  <c r="V232" i="159"/>
  <c r="V142" i="159"/>
  <c r="Q176" i="159"/>
  <c r="AO398" i="1" s="1"/>
  <c r="V173" i="159"/>
  <c r="S331" i="159"/>
  <c r="R73" i="159"/>
  <c r="Q73" i="159" s="1"/>
  <c r="AO307" i="1" s="1"/>
  <c r="AP307" i="1" s="1"/>
  <c r="AQ307" i="1" s="1"/>
  <c r="AR307" i="1" s="1"/>
  <c r="AS307" i="1" s="1"/>
  <c r="AJ3" i="1"/>
  <c r="U5" i="159"/>
  <c r="T5" i="159"/>
  <c r="Q303" i="159"/>
  <c r="AO37" i="1" s="1"/>
  <c r="Q347" i="159"/>
  <c r="AO366" i="1" s="1"/>
  <c r="Q365" i="159"/>
  <c r="AO104" i="1" s="1"/>
  <c r="V22" i="159"/>
  <c r="V356" i="159"/>
  <c r="V365" i="159"/>
  <c r="AP274" i="1"/>
  <c r="AQ274" i="1" s="1"/>
  <c r="AR274" i="1" s="1"/>
  <c r="AS274" i="1" s="1"/>
  <c r="AP409" i="1"/>
  <c r="AQ409" i="1" s="1"/>
  <c r="AR409" i="1" s="1"/>
  <c r="AS409" i="1" s="1"/>
  <c r="V320" i="159"/>
  <c r="Q321" i="159"/>
  <c r="AO241" i="1" s="1"/>
  <c r="AP241" i="1" s="1"/>
  <c r="AQ241" i="1" s="1"/>
  <c r="AR241" i="1" s="1"/>
  <c r="AS241" i="1" s="1"/>
  <c r="Q356" i="159"/>
  <c r="AO107" i="1" s="1"/>
  <c r="V321" i="159"/>
  <c r="Q22" i="159"/>
  <c r="AO271" i="1" s="1"/>
  <c r="AP271" i="1" s="1"/>
  <c r="AQ271" i="1" s="1"/>
  <c r="AR271" i="1" s="1"/>
  <c r="AS271" i="1" s="1"/>
  <c r="Q360" i="159"/>
  <c r="AO368" i="1" s="1"/>
  <c r="Q336" i="159"/>
  <c r="AO46" i="1" s="1"/>
  <c r="V324" i="159"/>
  <c r="V303" i="159"/>
  <c r="Q370" i="159"/>
  <c r="AO149" i="1" s="1"/>
  <c r="V347" i="159"/>
  <c r="Q376" i="159"/>
  <c r="AO91" i="1" s="1"/>
  <c r="V370" i="159"/>
  <c r="V352" i="159"/>
  <c r="Q366" i="159"/>
  <c r="AO385" i="1" s="1"/>
  <c r="AP385" i="1" s="1"/>
  <c r="AQ385" i="1" s="1"/>
  <c r="AR385" i="1" s="1"/>
  <c r="AS385" i="1" s="1"/>
  <c r="Q320" i="159"/>
  <c r="AO377" i="1" s="1"/>
  <c r="Q378" i="159"/>
  <c r="AO90" i="1" s="1"/>
  <c r="Q348" i="159"/>
  <c r="AO357" i="1" s="1"/>
  <c r="Q361" i="159"/>
  <c r="AO94" i="1" s="1"/>
  <c r="V360" i="159"/>
  <c r="V332" i="159"/>
  <c r="Q364" i="159"/>
  <c r="AO370" i="1" s="1"/>
  <c r="Q352" i="159"/>
  <c r="AO110" i="1" s="1"/>
  <c r="V359" i="159"/>
  <c r="V376" i="159"/>
  <c r="V348" i="159"/>
  <c r="V364" i="159"/>
  <c r="Q332" i="159"/>
  <c r="AO317" i="1" s="1"/>
  <c r="Q324" i="159"/>
  <c r="AO253" i="1" s="1"/>
  <c r="Q357" i="159"/>
  <c r="AO93" i="1" s="1"/>
  <c r="V366" i="159"/>
  <c r="U237" i="159"/>
  <c r="T237" i="159"/>
  <c r="U342" i="159"/>
  <c r="T342" i="159"/>
  <c r="T335" i="159"/>
  <c r="U335" i="159"/>
  <c r="U384" i="159"/>
  <c r="T384" i="159"/>
  <c r="U92" i="159"/>
  <c r="T92" i="159"/>
  <c r="U362" i="159"/>
  <c r="T362" i="159"/>
  <c r="U349" i="159"/>
  <c r="T349" i="159"/>
  <c r="U340" i="159"/>
  <c r="T340" i="159"/>
  <c r="U7" i="159"/>
  <c r="T7" i="159"/>
  <c r="V77" i="159"/>
  <c r="Q77" i="159"/>
  <c r="AO347" i="1" s="1"/>
  <c r="V213" i="159"/>
  <c r="Q213" i="159"/>
  <c r="AO171" i="1" s="1"/>
  <c r="T109" i="159"/>
  <c r="U109" i="159"/>
  <c r="U377" i="159"/>
  <c r="T377" i="159"/>
  <c r="U293" i="159"/>
  <c r="T293" i="159"/>
  <c r="T145" i="159"/>
  <c r="U145" i="159"/>
  <c r="U363" i="159"/>
  <c r="T363" i="159"/>
  <c r="U288" i="159"/>
  <c r="T288" i="159"/>
  <c r="U206" i="159"/>
  <c r="T206" i="159"/>
  <c r="S92" i="159"/>
  <c r="R92" i="159"/>
  <c r="Q212" i="159"/>
  <c r="AO397" i="1" s="1"/>
  <c r="V212" i="159"/>
  <c r="U380" i="159"/>
  <c r="T380" i="159"/>
  <c r="U230" i="159"/>
  <c r="T230" i="159"/>
  <c r="U86" i="159"/>
  <c r="T86" i="159"/>
  <c r="T207" i="159"/>
  <c r="U207" i="159"/>
  <c r="U353" i="159"/>
  <c r="T353" i="159"/>
  <c r="U371" i="159"/>
  <c r="T371" i="159"/>
  <c r="U31" i="159"/>
  <c r="T31" i="159"/>
  <c r="U327" i="159"/>
  <c r="T327" i="159"/>
  <c r="U367" i="159"/>
  <c r="T367" i="159"/>
  <c r="S109" i="159"/>
  <c r="R109" i="159"/>
  <c r="U323" i="159"/>
  <c r="T323" i="159"/>
  <c r="V378" i="159"/>
  <c r="V336" i="159"/>
  <c r="U299" i="159"/>
  <c r="T299" i="159"/>
  <c r="U83" i="159"/>
  <c r="T83" i="159"/>
  <c r="U372" i="159"/>
  <c r="T372" i="159"/>
  <c r="P293" i="159"/>
  <c r="AN13" i="1" s="1"/>
  <c r="S293" i="159"/>
  <c r="R293" i="159"/>
  <c r="T209" i="159"/>
  <c r="U209" i="159"/>
  <c r="T333" i="159"/>
  <c r="U333" i="159"/>
  <c r="U274" i="159"/>
  <c r="T274" i="159"/>
  <c r="U328" i="159"/>
  <c r="T328" i="159"/>
  <c r="U337" i="159"/>
  <c r="T337" i="159"/>
  <c r="S237" i="159"/>
  <c r="R237" i="159"/>
  <c r="Q12" i="159"/>
  <c r="AO270" i="1" s="1"/>
  <c r="AP270" i="1" s="1"/>
  <c r="AQ270" i="1" s="1"/>
  <c r="AR270" i="1" s="1"/>
  <c r="AS270" i="1" s="1"/>
  <c r="V12" i="159"/>
  <c r="V357" i="159"/>
  <c r="S7" i="159"/>
  <c r="R7" i="159"/>
  <c r="U334" i="159"/>
  <c r="T334" i="159"/>
  <c r="U374" i="159"/>
  <c r="T374" i="159"/>
  <c r="U331" i="159"/>
  <c r="T331" i="159"/>
  <c r="T325" i="159"/>
  <c r="U325" i="159"/>
  <c r="T215" i="159"/>
  <c r="U215" i="159"/>
  <c r="T82" i="159"/>
  <c r="U82" i="159"/>
  <c r="P85" i="159"/>
  <c r="AN47" i="1" s="1"/>
  <c r="S85" i="159"/>
  <c r="R85" i="159"/>
  <c r="U391" i="159"/>
  <c r="T391" i="159"/>
  <c r="Q359" i="159"/>
  <c r="AO345" i="1" s="1"/>
  <c r="U346" i="159"/>
  <c r="T346" i="159"/>
  <c r="U375" i="159"/>
  <c r="T375" i="159"/>
  <c r="U358" i="159"/>
  <c r="T358" i="159"/>
  <c r="U354" i="159"/>
  <c r="T354" i="159"/>
  <c r="U339" i="159"/>
  <c r="T339" i="159"/>
  <c r="P240" i="159"/>
  <c r="AN27" i="1" s="1"/>
  <c r="S240" i="159"/>
  <c r="R240" i="159"/>
  <c r="U350" i="159"/>
  <c r="T350" i="159"/>
  <c r="U368" i="159"/>
  <c r="T368" i="159"/>
  <c r="T329" i="159"/>
  <c r="U329" i="159"/>
  <c r="T32" i="159"/>
  <c r="U32" i="159"/>
  <c r="U351" i="159"/>
  <c r="T351" i="159"/>
  <c r="Q201" i="159"/>
  <c r="AO400" i="1" s="1"/>
  <c r="V201" i="159"/>
  <c r="Q238" i="159"/>
  <c r="AO269" i="1" s="1"/>
  <c r="AP269" i="1" s="1"/>
  <c r="AQ269" i="1" s="1"/>
  <c r="AR269" i="1" s="1"/>
  <c r="AS269" i="1" s="1"/>
  <c r="V238" i="159"/>
  <c r="Q383" i="159"/>
  <c r="AO199" i="1" s="1"/>
  <c r="V383" i="159"/>
  <c r="Q81" i="159"/>
  <c r="AO293" i="1" s="1"/>
  <c r="V81" i="159"/>
  <c r="U373" i="159"/>
  <c r="T373" i="159"/>
  <c r="U79" i="159"/>
  <c r="T79" i="159"/>
  <c r="U210" i="159"/>
  <c r="T210" i="159"/>
  <c r="U211" i="159"/>
  <c r="T211" i="159"/>
  <c r="U80" i="159"/>
  <c r="T80" i="159"/>
  <c r="T180" i="159"/>
  <c r="U180" i="159"/>
  <c r="T136" i="159"/>
  <c r="U136" i="159"/>
  <c r="Q208" i="159"/>
  <c r="AO252" i="1" s="1"/>
  <c r="AP252" i="1" s="1"/>
  <c r="AQ252" i="1" s="1"/>
  <c r="AR252" i="1" s="1"/>
  <c r="AS252" i="1" s="1"/>
  <c r="V208" i="159"/>
  <c r="V385" i="159"/>
  <c r="Q385" i="159"/>
  <c r="AO121" i="1" s="1"/>
  <c r="V361" i="159"/>
  <c r="V78" i="159"/>
  <c r="Q78" i="159"/>
  <c r="AO264" i="1" s="1"/>
  <c r="P339" i="159"/>
  <c r="AN381" i="1" s="1"/>
  <c r="U322" i="159"/>
  <c r="T322" i="159"/>
  <c r="U84" i="159"/>
  <c r="T84" i="159"/>
  <c r="U338" i="159"/>
  <c r="T338" i="159"/>
  <c r="U355" i="159"/>
  <c r="T355" i="159"/>
  <c r="U214" i="159"/>
  <c r="T214" i="159"/>
  <c r="U330" i="159"/>
  <c r="T330" i="159"/>
  <c r="T240" i="159"/>
  <c r="U240" i="159"/>
  <c r="U382" i="159"/>
  <c r="T382" i="159"/>
  <c r="U326" i="159"/>
  <c r="T326" i="159"/>
  <c r="U369" i="159"/>
  <c r="T369" i="159"/>
  <c r="V104" i="159"/>
  <c r="Q104" i="159"/>
  <c r="AO137" i="1" s="1"/>
  <c r="P7" i="159"/>
  <c r="AN19" i="1" s="1"/>
  <c r="P230" i="159"/>
  <c r="AN17" i="1" s="1"/>
  <c r="P373" i="159"/>
  <c r="AN215" i="1" s="1"/>
  <c r="P79" i="159"/>
  <c r="AN289" i="1" s="1"/>
  <c r="P358" i="159"/>
  <c r="AN338" i="1" s="1"/>
  <c r="P83" i="159"/>
  <c r="AN337" i="1" s="1"/>
  <c r="P377" i="159"/>
  <c r="AN374" i="1" s="1"/>
  <c r="P355" i="159"/>
  <c r="AN367" i="1" s="1"/>
  <c r="P145" i="159"/>
  <c r="AN22" i="1" s="1"/>
  <c r="P363" i="159"/>
  <c r="AN233" i="1" s="1"/>
  <c r="P288" i="159"/>
  <c r="AN7" i="1" s="1"/>
  <c r="P326" i="159"/>
  <c r="AN283" i="1" s="1"/>
  <c r="P351" i="159"/>
  <c r="AN342" i="1" s="1"/>
  <c r="P211" i="159"/>
  <c r="AN355" i="1" s="1"/>
  <c r="P80" i="159"/>
  <c r="AN128" i="1" s="1"/>
  <c r="P109" i="159"/>
  <c r="AN52" i="1" s="1"/>
  <c r="P323" i="159"/>
  <c r="AN165" i="1" s="1"/>
  <c r="P331" i="159"/>
  <c r="AN318" i="1" s="1"/>
  <c r="P335" i="159"/>
  <c r="AN296" i="1" s="1"/>
  <c r="P384" i="159"/>
  <c r="AN127" i="1" s="1"/>
  <c r="P210" i="159"/>
  <c r="AN180" i="1" s="1"/>
  <c r="P375" i="159"/>
  <c r="AN129" i="1" s="1"/>
  <c r="P84" i="159"/>
  <c r="AN122" i="1" s="1"/>
  <c r="P354" i="159"/>
  <c r="AN183" i="1" s="1"/>
  <c r="P209" i="159"/>
  <c r="AN168" i="1" s="1"/>
  <c r="P333" i="159"/>
  <c r="AN301" i="1" s="1"/>
  <c r="P274" i="159"/>
  <c r="AN16" i="1" s="1"/>
  <c r="P328" i="159"/>
  <c r="AN35" i="1" s="1"/>
  <c r="P369" i="159"/>
  <c r="AN278" i="1" s="1"/>
  <c r="P346" i="159"/>
  <c r="AN9" i="1" s="1"/>
  <c r="P362" i="159"/>
  <c r="AN340" i="1" s="1"/>
  <c r="P349" i="159"/>
  <c r="AN163" i="1" s="1"/>
  <c r="P82" i="159"/>
  <c r="AN132" i="1" s="1"/>
  <c r="P391" i="159"/>
  <c r="AN258" i="1" s="1"/>
  <c r="P380" i="159"/>
  <c r="AN12" i="1" s="1"/>
  <c r="P86" i="159"/>
  <c r="AN124" i="1" s="1"/>
  <c r="P207" i="159"/>
  <c r="AN201" i="1" s="1"/>
  <c r="P353" i="159"/>
  <c r="AN365" i="1" s="1"/>
  <c r="P322" i="159"/>
  <c r="AN33" i="1" s="1"/>
  <c r="P338" i="159"/>
  <c r="AN319" i="1" s="1"/>
  <c r="P372" i="159"/>
  <c r="AN193" i="1" s="1"/>
  <c r="P350" i="159"/>
  <c r="AN369" i="1" s="1"/>
  <c r="P368" i="159"/>
  <c r="AN111" i="1" s="1"/>
  <c r="P329" i="159"/>
  <c r="AN10" i="1" s="1"/>
  <c r="P32" i="159"/>
  <c r="AN272" i="1" s="1"/>
  <c r="P206" i="159"/>
  <c r="AN164" i="1" s="1"/>
  <c r="P92" i="159"/>
  <c r="AN26" i="1" s="1"/>
  <c r="P371" i="159"/>
  <c r="AN40" i="1" s="1"/>
  <c r="P31" i="159"/>
  <c r="AN387" i="1" s="1"/>
  <c r="P327" i="159"/>
  <c r="AN234" i="1" s="1"/>
  <c r="P180" i="159"/>
  <c r="AN31" i="1" s="1"/>
  <c r="P342" i="159"/>
  <c r="AN30" i="1" s="1"/>
  <c r="P334" i="159"/>
  <c r="AN297" i="1" s="1"/>
  <c r="P374" i="159"/>
  <c r="AN200" i="1" s="1"/>
  <c r="P299" i="159"/>
  <c r="AN48" i="1" s="1"/>
  <c r="AN321" i="1"/>
  <c r="P214" i="159"/>
  <c r="AN213" i="1" s="1"/>
  <c r="P330" i="159"/>
  <c r="AN316" i="1" s="1"/>
  <c r="P382" i="159"/>
  <c r="AN303" i="1" s="1"/>
  <c r="P337" i="159"/>
  <c r="AN173" i="1" s="1"/>
  <c r="P237" i="159"/>
  <c r="AN20" i="1" s="1"/>
  <c r="P325" i="159"/>
  <c r="AN257" i="1" s="1"/>
  <c r="P215" i="159"/>
  <c r="AN363" i="1" s="1"/>
  <c r="P367" i="159"/>
  <c r="AN372" i="1" s="1"/>
  <c r="O31" i="71"/>
  <c r="P31" i="71" s="1"/>
  <c r="O20" i="71"/>
  <c r="P20" i="71" s="1"/>
  <c r="O5" i="71"/>
  <c r="P5" i="71" s="1"/>
  <c r="O9" i="71"/>
  <c r="P9" i="71" s="1"/>
  <c r="O32" i="71"/>
  <c r="P32" i="71" s="1"/>
  <c r="O33" i="71"/>
  <c r="P33" i="71" s="1"/>
  <c r="O30" i="71"/>
  <c r="P30" i="71" s="1"/>
  <c r="O37" i="71"/>
  <c r="P37" i="71" s="1"/>
  <c r="O48" i="71"/>
  <c r="P48" i="71" s="1"/>
  <c r="B10" i="102"/>
  <c r="O42" i="71"/>
  <c r="P42" i="71" s="1"/>
  <c r="O46" i="71"/>
  <c r="P46" i="71" s="1"/>
  <c r="O34" i="71"/>
  <c r="P34" i="71" s="1"/>
  <c r="O10" i="71"/>
  <c r="P10" i="71" s="1"/>
  <c r="O13" i="71"/>
  <c r="P13" i="71" s="1"/>
  <c r="O16" i="71"/>
  <c r="P16" i="71" s="1"/>
  <c r="O21" i="71"/>
  <c r="P21" i="71" s="1"/>
  <c r="M3" i="71"/>
  <c r="N3" i="71"/>
  <c r="AP304" i="1"/>
  <c r="AQ304" i="1" s="1"/>
  <c r="AR304" i="1" s="1"/>
  <c r="AS304" i="1" s="1"/>
  <c r="AP55" i="1"/>
  <c r="AQ55" i="1" s="1"/>
  <c r="AR55" i="1" s="1"/>
  <c r="AS55" i="1" s="1"/>
  <c r="AP210" i="1"/>
  <c r="AQ210" i="1" s="1"/>
  <c r="AR210" i="1" s="1"/>
  <c r="AS210" i="1" s="1"/>
  <c r="AP300" i="1"/>
  <c r="AQ300" i="1" s="1"/>
  <c r="AR300" i="1" s="1"/>
  <c r="AS300" i="1" s="1"/>
  <c r="AP99" i="1"/>
  <c r="AQ99" i="1" s="1"/>
  <c r="AR99" i="1" s="1"/>
  <c r="AS99" i="1" s="1"/>
  <c r="AP327" i="1"/>
  <c r="AQ327" i="1" s="1"/>
  <c r="AR327" i="1" s="1"/>
  <c r="AS327" i="1" s="1"/>
  <c r="AP143" i="1"/>
  <c r="AQ143" i="1" s="1"/>
  <c r="AR143" i="1" s="1"/>
  <c r="AS143" i="1" s="1"/>
  <c r="AP69" i="1"/>
  <c r="AQ69" i="1" s="1"/>
  <c r="AR69" i="1" s="1"/>
  <c r="AS69" i="1" s="1"/>
  <c r="AP140" i="1"/>
  <c r="AQ140" i="1" s="1"/>
  <c r="AR140" i="1" s="1"/>
  <c r="AS140" i="1" s="1"/>
  <c r="AP117" i="1"/>
  <c r="AQ117" i="1" s="1"/>
  <c r="AR117" i="1" s="1"/>
  <c r="AS117" i="1" s="1"/>
  <c r="AP260" i="1"/>
  <c r="AQ260" i="1" s="1"/>
  <c r="AR260" i="1" s="1"/>
  <c r="AS260" i="1" s="1"/>
  <c r="AP391" i="1"/>
  <c r="AQ391" i="1" s="1"/>
  <c r="AR391" i="1" s="1"/>
  <c r="AS391" i="1" s="1"/>
  <c r="AP172" i="1"/>
  <c r="AQ172" i="1" s="1"/>
  <c r="AR172" i="1" s="1"/>
  <c r="AS172" i="1" s="1"/>
  <c r="AP240" i="1"/>
  <c r="AQ240" i="1" s="1"/>
  <c r="AR240" i="1" s="1"/>
  <c r="AS240" i="1" s="1"/>
  <c r="AP75" i="1"/>
  <c r="AQ75" i="1" s="1"/>
  <c r="AR75" i="1" s="1"/>
  <c r="AS75" i="1" s="1"/>
  <c r="AP179" i="1"/>
  <c r="AQ179" i="1" s="1"/>
  <c r="AR179" i="1" s="1"/>
  <c r="AS179" i="1" s="1"/>
  <c r="AP392" i="1"/>
  <c r="AQ392" i="1" s="1"/>
  <c r="AR392" i="1" s="1"/>
  <c r="AS392" i="1" s="1"/>
  <c r="AP154" i="1"/>
  <c r="AQ154" i="1" s="1"/>
  <c r="AR154" i="1" s="1"/>
  <c r="AS154" i="1" s="1"/>
  <c r="AP131" i="1"/>
  <c r="AQ131" i="1" s="1"/>
  <c r="AR131" i="1" s="1"/>
  <c r="AS131" i="1" s="1"/>
  <c r="AP182" i="1"/>
  <c r="AQ182" i="1" s="1"/>
  <c r="AR182" i="1" s="1"/>
  <c r="AS182" i="1" s="1"/>
  <c r="AP406" i="1"/>
  <c r="AQ406" i="1" s="1"/>
  <c r="AR406" i="1" s="1"/>
  <c r="AS406" i="1" s="1"/>
  <c r="AP343" i="1"/>
  <c r="AQ343" i="1" s="1"/>
  <c r="AR343" i="1" s="1"/>
  <c r="AS343" i="1" s="1"/>
  <c r="AP306" i="1"/>
  <c r="AQ306" i="1" s="1"/>
  <c r="AR306" i="1" s="1"/>
  <c r="AS306" i="1" s="1"/>
  <c r="AP119" i="1"/>
  <c r="AQ119" i="1" s="1"/>
  <c r="AR119" i="1" s="1"/>
  <c r="AS119" i="1" s="1"/>
  <c r="AP259" i="1"/>
  <c r="AQ259" i="1" s="1"/>
  <c r="AR259" i="1" s="1"/>
  <c r="AS259" i="1" s="1"/>
  <c r="AP82" i="1"/>
  <c r="AQ82" i="1" s="1"/>
  <c r="AR82" i="1" s="1"/>
  <c r="AS82" i="1" s="1"/>
  <c r="AP280" i="1"/>
  <c r="AQ280" i="1" s="1"/>
  <c r="AR280" i="1" s="1"/>
  <c r="AS280" i="1" s="1"/>
  <c r="AP219" i="1"/>
  <c r="AQ219" i="1" s="1"/>
  <c r="AR219" i="1" s="1"/>
  <c r="AS219" i="1" s="1"/>
  <c r="AP133" i="1"/>
  <c r="AQ133" i="1" s="1"/>
  <c r="AR133" i="1" s="1"/>
  <c r="AS133" i="1" s="1"/>
  <c r="AP281" i="1"/>
  <c r="AQ281" i="1" s="1"/>
  <c r="AR281" i="1" s="1"/>
  <c r="AS281" i="1" s="1"/>
  <c r="AP139" i="1"/>
  <c r="AQ139" i="1" s="1"/>
  <c r="AR139" i="1" s="1"/>
  <c r="AS139" i="1" s="1"/>
  <c r="AP126" i="1"/>
  <c r="AQ126" i="1" s="1"/>
  <c r="AR126" i="1" s="1"/>
  <c r="AS126" i="1" s="1"/>
  <c r="AP145" i="1"/>
  <c r="AQ145" i="1" s="1"/>
  <c r="AR145" i="1" s="1"/>
  <c r="AS145" i="1" s="1"/>
  <c r="AP354" i="1"/>
  <c r="AQ354" i="1" s="1"/>
  <c r="AR354" i="1" s="1"/>
  <c r="AS354" i="1" s="1"/>
  <c r="AP162" i="1"/>
  <c r="AQ162" i="1" s="1"/>
  <c r="AR162" i="1" s="1"/>
  <c r="AS162" i="1" s="1"/>
  <c r="AP360" i="1"/>
  <c r="AQ360" i="1" s="1"/>
  <c r="AR360" i="1" s="1"/>
  <c r="AS360" i="1" s="1"/>
  <c r="AP373" i="1"/>
  <c r="AQ373" i="1" s="1"/>
  <c r="AR373" i="1" s="1"/>
  <c r="AS373" i="1" s="1"/>
  <c r="AP376" i="1"/>
  <c r="AQ376" i="1" s="1"/>
  <c r="AR376" i="1" s="1"/>
  <c r="AS376" i="1" s="1"/>
  <c r="AP375" i="1"/>
  <c r="AQ375" i="1" s="1"/>
  <c r="AR375" i="1" s="1"/>
  <c r="AS375" i="1" s="1"/>
  <c r="AP65" i="1"/>
  <c r="AQ65" i="1" s="1"/>
  <c r="AR65" i="1" s="1"/>
  <c r="AS65" i="1" s="1"/>
  <c r="AP67" i="1"/>
  <c r="AQ67" i="1" s="1"/>
  <c r="AR67" i="1" s="1"/>
  <c r="AS67" i="1" s="1"/>
  <c r="AP125" i="1"/>
  <c r="AQ125" i="1" s="1"/>
  <c r="AR125" i="1" s="1"/>
  <c r="AS125" i="1" s="1"/>
  <c r="AP217" i="1"/>
  <c r="AQ217" i="1" s="1"/>
  <c r="AR217" i="1" s="1"/>
  <c r="AS217" i="1" s="1"/>
  <c r="AP197" i="1"/>
  <c r="AQ197" i="1" s="1"/>
  <c r="AR197" i="1" s="1"/>
  <c r="AS197" i="1" s="1"/>
  <c r="AP383" i="1"/>
  <c r="AQ383" i="1" s="1"/>
  <c r="AR383" i="1" s="1"/>
  <c r="AS383" i="1" s="1"/>
  <c r="AP268" i="1"/>
  <c r="AQ268" i="1" s="1"/>
  <c r="AR268" i="1" s="1"/>
  <c r="AS268" i="1" s="1"/>
  <c r="AP231" i="1"/>
  <c r="AQ231" i="1" s="1"/>
  <c r="AR231" i="1" s="1"/>
  <c r="AS231" i="1" s="1"/>
  <c r="AP346" i="1"/>
  <c r="AQ346" i="1" s="1"/>
  <c r="AR346" i="1" s="1"/>
  <c r="AS346" i="1" s="1"/>
  <c r="AP103" i="1"/>
  <c r="AQ103" i="1" s="1"/>
  <c r="AR103" i="1" s="1"/>
  <c r="AS103" i="1" s="1"/>
  <c r="AP222" i="1"/>
  <c r="AQ222" i="1" s="1"/>
  <c r="AR222" i="1" s="1"/>
  <c r="AS222" i="1" s="1"/>
  <c r="AP351" i="1"/>
  <c r="AQ351" i="1" s="1"/>
  <c r="AR351" i="1" s="1"/>
  <c r="AS351" i="1" s="1"/>
  <c r="AP214" i="1"/>
  <c r="AQ214" i="1" s="1"/>
  <c r="AR214" i="1" s="1"/>
  <c r="AS214" i="1" s="1"/>
  <c r="AP207" i="1"/>
  <c r="AQ207" i="1" s="1"/>
  <c r="AR207" i="1" s="1"/>
  <c r="AS207" i="1" s="1"/>
  <c r="AP408" i="1"/>
  <c r="AQ408" i="1" s="1"/>
  <c r="AR408" i="1" s="1"/>
  <c r="AS408" i="1" s="1"/>
  <c r="AP292" i="1"/>
  <c r="AQ292" i="1" s="1"/>
  <c r="AR292" i="1" s="1"/>
  <c r="AS292" i="1" s="1"/>
  <c r="AP209" i="1"/>
  <c r="AQ209" i="1" s="1"/>
  <c r="AR209" i="1" s="1"/>
  <c r="AS209" i="1" s="1"/>
  <c r="AP144" i="1"/>
  <c r="AQ144" i="1" s="1"/>
  <c r="AR144" i="1" s="1"/>
  <c r="AS144" i="1" s="1"/>
  <c r="AP362" i="1"/>
  <c r="AQ362" i="1" s="1"/>
  <c r="AR362" i="1" s="1"/>
  <c r="AS362" i="1" s="1"/>
  <c r="AP334" i="1"/>
  <c r="AQ334" i="1" s="1"/>
  <c r="AR334" i="1" s="1"/>
  <c r="AS334" i="1" s="1"/>
  <c r="AP412" i="1"/>
  <c r="AQ412" i="1" s="1"/>
  <c r="AR412" i="1" s="1"/>
  <c r="AS412" i="1" s="1"/>
  <c r="AP76" i="1"/>
  <c r="AQ76" i="1" s="1"/>
  <c r="AR76" i="1" s="1"/>
  <c r="AS76" i="1" s="1"/>
  <c r="AP308" i="1"/>
  <c r="AQ308" i="1" s="1"/>
  <c r="AR308" i="1" s="1"/>
  <c r="AS308" i="1" s="1"/>
  <c r="AP153" i="1"/>
  <c r="AQ153" i="1" s="1"/>
  <c r="AR153" i="1" s="1"/>
  <c r="AS153" i="1" s="1"/>
  <c r="AP238" i="1"/>
  <c r="AQ238" i="1" s="1"/>
  <c r="AR238" i="1" s="1"/>
  <c r="AS238" i="1" s="1"/>
  <c r="AP66" i="1"/>
  <c r="AQ66" i="1" s="1"/>
  <c r="AR66" i="1" s="1"/>
  <c r="AS66" i="1" s="1"/>
  <c r="AP388" i="1"/>
  <c r="AQ388" i="1" s="1"/>
  <c r="AR388" i="1" s="1"/>
  <c r="AS388" i="1" s="1"/>
  <c r="AP174" i="1"/>
  <c r="AQ174" i="1" s="1"/>
  <c r="AR174" i="1" s="1"/>
  <c r="AS174" i="1" s="1"/>
  <c r="AP202" i="1"/>
  <c r="AQ202" i="1" s="1"/>
  <c r="AR202" i="1" s="1"/>
  <c r="AS202" i="1" s="1"/>
  <c r="AP395" i="1"/>
  <c r="AQ395" i="1" s="1"/>
  <c r="AR395" i="1" s="1"/>
  <c r="AS395" i="1" s="1"/>
  <c r="AP290" i="1"/>
  <c r="AQ290" i="1" s="1"/>
  <c r="AR290" i="1" s="1"/>
  <c r="AS290" i="1" s="1"/>
  <c r="AP123" i="1"/>
  <c r="AQ123" i="1" s="1"/>
  <c r="AR123" i="1" s="1"/>
  <c r="AS123" i="1" s="1"/>
  <c r="AP364" i="1"/>
  <c r="AQ364" i="1" s="1"/>
  <c r="AR364" i="1" s="1"/>
  <c r="AS364" i="1" s="1"/>
  <c r="AP176" i="1"/>
  <c r="AQ176" i="1" s="1"/>
  <c r="AR176" i="1" s="1"/>
  <c r="AS176" i="1" s="1"/>
  <c r="AP89" i="1"/>
  <c r="AQ89" i="1" s="1"/>
  <c r="AR89" i="1" s="1"/>
  <c r="AS89" i="1" s="1"/>
  <c r="AP142" i="1"/>
  <c r="AQ142" i="1" s="1"/>
  <c r="AR142" i="1" s="1"/>
  <c r="AS142" i="1" s="1"/>
  <c r="AP136" i="1"/>
  <c r="AQ136" i="1" s="1"/>
  <c r="AR136" i="1" s="1"/>
  <c r="AS136" i="1" s="1"/>
  <c r="AP61" i="1"/>
  <c r="AQ61" i="1" s="1"/>
  <c r="AR61" i="1" s="1"/>
  <c r="AS61" i="1" s="1"/>
  <c r="AP288" i="1"/>
  <c r="AQ288" i="1" s="1"/>
  <c r="AR288" i="1" s="1"/>
  <c r="AS288" i="1" s="1"/>
  <c r="AP380" i="1"/>
  <c r="AQ380" i="1" s="1"/>
  <c r="AR380" i="1" s="1"/>
  <c r="AS380" i="1" s="1"/>
  <c r="AP325" i="1"/>
  <c r="AQ325" i="1" s="1"/>
  <c r="AR325" i="1" s="1"/>
  <c r="AS325" i="1" s="1"/>
  <c r="AP390" i="1"/>
  <c r="AQ390" i="1" s="1"/>
  <c r="AR390" i="1" s="1"/>
  <c r="AS390" i="1" s="1"/>
  <c r="AP221" i="1"/>
  <c r="AQ221" i="1" s="1"/>
  <c r="AR221" i="1" s="1"/>
  <c r="AS221" i="1" s="1"/>
  <c r="AP216" i="1"/>
  <c r="AQ216" i="1" s="1"/>
  <c r="AR216" i="1" s="1"/>
  <c r="AS216" i="1" s="1"/>
  <c r="AP218" i="1"/>
  <c r="AQ218" i="1" s="1"/>
  <c r="AR218" i="1" s="1"/>
  <c r="AS218" i="1" s="1"/>
  <c r="AP332" i="1"/>
  <c r="AQ332" i="1" s="1"/>
  <c r="AR332" i="1" s="1"/>
  <c r="AS332" i="1" s="1"/>
  <c r="AP57" i="1"/>
  <c r="AQ57" i="1" s="1"/>
  <c r="AR57" i="1" s="1"/>
  <c r="AS57" i="1" s="1"/>
  <c r="AP108" i="1"/>
  <c r="AQ108" i="1" s="1"/>
  <c r="AR108" i="1" s="1"/>
  <c r="AS108" i="1" s="1"/>
  <c r="AP371" i="1"/>
  <c r="AQ371" i="1" s="1"/>
  <c r="AR371" i="1" s="1"/>
  <c r="AS371" i="1" s="1"/>
  <c r="AP73" i="1"/>
  <c r="AQ73" i="1" s="1"/>
  <c r="AR73" i="1" s="1"/>
  <c r="AS73" i="1" s="1"/>
  <c r="AP229" i="1"/>
  <c r="AQ229" i="1" s="1"/>
  <c r="AR229" i="1" s="1"/>
  <c r="AS229" i="1" s="1"/>
  <c r="AP97" i="1"/>
  <c r="AQ97" i="1" s="1"/>
  <c r="AR97" i="1" s="1"/>
  <c r="AS97" i="1" s="1"/>
  <c r="AP105" i="1"/>
  <c r="AQ105" i="1" s="1"/>
  <c r="AR105" i="1" s="1"/>
  <c r="AS105" i="1" s="1"/>
  <c r="AP70" i="1"/>
  <c r="AQ70" i="1" s="1"/>
  <c r="AR70" i="1" s="1"/>
  <c r="AS70" i="1" s="1"/>
  <c r="AP86" i="1"/>
  <c r="AQ86" i="1" s="1"/>
  <c r="AR86" i="1" s="1"/>
  <c r="AS86" i="1" s="1"/>
  <c r="AP58" i="1"/>
  <c r="AQ58" i="1" s="1"/>
  <c r="AR58" i="1" s="1"/>
  <c r="AS58" i="1" s="1"/>
  <c r="AP405" i="1"/>
  <c r="AQ405" i="1" s="1"/>
  <c r="AR405" i="1" s="1"/>
  <c r="AS405" i="1" s="1"/>
  <c r="AP102" i="1"/>
  <c r="AQ102" i="1" s="1"/>
  <c r="AR102" i="1" s="1"/>
  <c r="AS102" i="1" s="1"/>
  <c r="AP328" i="1"/>
  <c r="AQ328" i="1" s="1"/>
  <c r="AR328" i="1" s="1"/>
  <c r="AS328" i="1" s="1"/>
  <c r="AP287" i="1"/>
  <c r="AQ287" i="1" s="1"/>
  <c r="AR287" i="1" s="1"/>
  <c r="AS287" i="1" s="1"/>
  <c r="AP78" i="1"/>
  <c r="AQ78" i="1" s="1"/>
  <c r="AR78" i="1" s="1"/>
  <c r="AS78" i="1" s="1"/>
  <c r="AP205" i="1"/>
  <c r="AQ205" i="1" s="1"/>
  <c r="AR205" i="1" s="1"/>
  <c r="AS205" i="1" s="1"/>
  <c r="AP135" i="1"/>
  <c r="AQ135" i="1" s="1"/>
  <c r="AR135" i="1" s="1"/>
  <c r="AS135" i="1" s="1"/>
  <c r="AP198" i="1"/>
  <c r="AQ198" i="1" s="1"/>
  <c r="AR198" i="1" s="1"/>
  <c r="AS198" i="1" s="1"/>
  <c r="AP100" i="1"/>
  <c r="AQ100" i="1" s="1"/>
  <c r="AR100" i="1" s="1"/>
  <c r="AS100" i="1" s="1"/>
  <c r="AP299" i="1"/>
  <c r="AQ299" i="1" s="1"/>
  <c r="AR299" i="1" s="1"/>
  <c r="AS299" i="1" s="1"/>
  <c r="AP402" i="1"/>
  <c r="AQ402" i="1" s="1"/>
  <c r="AR402" i="1" s="1"/>
  <c r="AS402" i="1" s="1"/>
  <c r="AP158" i="1"/>
  <c r="AQ158" i="1" s="1"/>
  <c r="AR158" i="1" s="1"/>
  <c r="AS158" i="1" s="1"/>
  <c r="AP286" i="1"/>
  <c r="AQ286" i="1" s="1"/>
  <c r="AR286" i="1" s="1"/>
  <c r="AS286" i="1" s="1"/>
  <c r="AP275" i="1"/>
  <c r="AQ275" i="1" s="1"/>
  <c r="AR275" i="1" s="1"/>
  <c r="AS275" i="1" s="1"/>
  <c r="AP159" i="1"/>
  <c r="AQ159" i="1" s="1"/>
  <c r="AR159" i="1" s="1"/>
  <c r="AS159" i="1" s="1"/>
  <c r="AP81" i="1"/>
  <c r="AQ81" i="1" s="1"/>
  <c r="AR81" i="1" s="1"/>
  <c r="AS81" i="1" s="1"/>
  <c r="AP56" i="1"/>
  <c r="AQ56" i="1" s="1"/>
  <c r="AR56" i="1" s="1"/>
  <c r="AS56" i="1" s="1"/>
  <c r="AP223" i="1"/>
  <c r="AQ223" i="1" s="1"/>
  <c r="AR223" i="1" s="1"/>
  <c r="AS223" i="1" s="1"/>
  <c r="AP87" i="1"/>
  <c r="AQ87" i="1" s="1"/>
  <c r="AR87" i="1" s="1"/>
  <c r="AS87" i="1" s="1"/>
  <c r="AP178" i="1"/>
  <c r="AQ178" i="1" s="1"/>
  <c r="AR178" i="1" s="1"/>
  <c r="AS178" i="1" s="1"/>
  <c r="AP64" i="1"/>
  <c r="AQ64" i="1" s="1"/>
  <c r="AR64" i="1" s="1"/>
  <c r="AS64" i="1" s="1"/>
  <c r="AP324" i="1"/>
  <c r="AQ324" i="1" s="1"/>
  <c r="AR324" i="1" s="1"/>
  <c r="AS324" i="1" s="1"/>
  <c r="AP155" i="1"/>
  <c r="AQ155" i="1" s="1"/>
  <c r="AR155" i="1" s="1"/>
  <c r="AS155" i="1" s="1"/>
  <c r="AP320" i="1"/>
  <c r="AQ320" i="1" s="1"/>
  <c r="AR320" i="1" s="1"/>
  <c r="AS320" i="1" s="1"/>
  <c r="AP236" i="1"/>
  <c r="AQ236" i="1" s="1"/>
  <c r="AR236" i="1" s="1"/>
  <c r="AS236" i="1" s="1"/>
  <c r="AP181" i="1"/>
  <c r="AQ181" i="1" s="1"/>
  <c r="AR181" i="1" s="1"/>
  <c r="AS181" i="1" s="1"/>
  <c r="AP63" i="1"/>
  <c r="AQ63" i="1" s="1"/>
  <c r="AR63" i="1" s="1"/>
  <c r="AS63" i="1" s="1"/>
  <c r="AP62" i="1"/>
  <c r="AQ62" i="1" s="1"/>
  <c r="AR62" i="1" s="1"/>
  <c r="AS62" i="1" s="1"/>
  <c r="AP141" i="1"/>
  <c r="AQ141" i="1" s="1"/>
  <c r="AR141" i="1" s="1"/>
  <c r="AS141" i="1" s="1"/>
  <c r="AP330" i="1"/>
  <c r="AQ330" i="1" s="1"/>
  <c r="AR330" i="1" s="1"/>
  <c r="AS330" i="1" s="1"/>
  <c r="AP92" i="1"/>
  <c r="AQ92" i="1" s="1"/>
  <c r="AR92" i="1" s="1"/>
  <c r="AS92" i="1" s="1"/>
  <c r="AP227" i="1"/>
  <c r="AQ227" i="1" s="1"/>
  <c r="AR227" i="1" s="1"/>
  <c r="AS227" i="1" s="1"/>
  <c r="AP263" i="1"/>
  <c r="AQ263" i="1" s="1"/>
  <c r="AR263" i="1" s="1"/>
  <c r="AS263" i="1" s="1"/>
  <c r="AP146" i="1"/>
  <c r="AQ146" i="1" s="1"/>
  <c r="AR146" i="1" s="1"/>
  <c r="AS146" i="1" s="1"/>
  <c r="AP60" i="1"/>
  <c r="AQ60" i="1" s="1"/>
  <c r="AR60" i="1" s="1"/>
  <c r="AS60" i="1" s="1"/>
  <c r="AP239" i="1"/>
  <c r="AQ239" i="1" s="1"/>
  <c r="AR239" i="1" s="1"/>
  <c r="AS239" i="1" s="1"/>
  <c r="AP353" i="1"/>
  <c r="AQ353" i="1" s="1"/>
  <c r="AR353" i="1" s="1"/>
  <c r="AS353" i="1" s="1"/>
  <c r="AP348" i="1"/>
  <c r="AQ348" i="1" s="1"/>
  <c r="AR348" i="1" s="1"/>
  <c r="AS348" i="1" s="1"/>
  <c r="AP101" i="1"/>
  <c r="AQ101" i="1" s="1"/>
  <c r="AR101" i="1" s="1"/>
  <c r="AS101" i="1" s="1"/>
  <c r="AP148" i="1"/>
  <c r="AQ148" i="1" s="1"/>
  <c r="AR148" i="1" s="1"/>
  <c r="AS148" i="1" s="1"/>
  <c r="AP382" i="1"/>
  <c r="AQ382" i="1" s="1"/>
  <c r="AR382" i="1" s="1"/>
  <c r="AS382" i="1" s="1"/>
  <c r="AP156" i="1"/>
  <c r="AQ156" i="1" s="1"/>
  <c r="AR156" i="1" s="1"/>
  <c r="AS156" i="1" s="1"/>
  <c r="AP203" i="1"/>
  <c r="AQ203" i="1" s="1"/>
  <c r="AR203" i="1" s="1"/>
  <c r="AS203" i="1" s="1"/>
  <c r="AP378" i="1"/>
  <c r="AQ378" i="1" s="1"/>
  <c r="AR378" i="1" s="1"/>
  <c r="AS378" i="1" s="1"/>
  <c r="AP113" i="1"/>
  <c r="AQ113" i="1" s="1"/>
  <c r="AR113" i="1" s="1"/>
  <c r="AS113" i="1" s="1"/>
  <c r="AP249" i="1"/>
  <c r="AQ249" i="1" s="1"/>
  <c r="AR249" i="1" s="1"/>
  <c r="AS249" i="1" s="1"/>
  <c r="AP185" i="1"/>
  <c r="AQ185" i="1" s="1"/>
  <c r="AR185" i="1" s="1"/>
  <c r="AS185" i="1" s="1"/>
  <c r="AP211" i="1"/>
  <c r="AQ211" i="1" s="1"/>
  <c r="AR211" i="1" s="1"/>
  <c r="AS211" i="1" s="1"/>
  <c r="AP85" i="1"/>
  <c r="AQ85" i="1" s="1"/>
  <c r="AR85" i="1" s="1"/>
  <c r="AS85" i="1" s="1"/>
  <c r="AP116" i="1"/>
  <c r="AQ116" i="1" s="1"/>
  <c r="AR116" i="1" s="1"/>
  <c r="AS116" i="1" s="1"/>
  <c r="AP276" i="1"/>
  <c r="AQ276" i="1" s="1"/>
  <c r="AR276" i="1" s="1"/>
  <c r="AS276" i="1" s="1"/>
  <c r="AP68" i="1"/>
  <c r="AQ68" i="1" s="1"/>
  <c r="AR68" i="1" s="1"/>
  <c r="AS68" i="1" s="1"/>
  <c r="AP96" i="1"/>
  <c r="AQ96" i="1" s="1"/>
  <c r="AR96" i="1" s="1"/>
  <c r="AS96" i="1" s="1"/>
  <c r="AP262" i="1"/>
  <c r="AQ262" i="1" s="1"/>
  <c r="AR262" i="1" s="1"/>
  <c r="AS262" i="1" s="1"/>
  <c r="AP311" i="1"/>
  <c r="AQ311" i="1" s="1"/>
  <c r="AR311" i="1" s="1"/>
  <c r="AS311" i="1" s="1"/>
  <c r="AP298" i="1"/>
  <c r="AQ298" i="1" s="1"/>
  <c r="AR298" i="1" s="1"/>
  <c r="AS298" i="1" s="1"/>
  <c r="AP245" i="1"/>
  <c r="AQ245" i="1" s="1"/>
  <c r="AR245" i="1" s="1"/>
  <c r="AS245" i="1" s="1"/>
  <c r="AP282" i="1"/>
  <c r="AQ282" i="1" s="1"/>
  <c r="AR282" i="1" s="1"/>
  <c r="AS282" i="1" s="1"/>
  <c r="AP167" i="1"/>
  <c r="AQ167" i="1" s="1"/>
  <c r="AR167" i="1" s="1"/>
  <c r="AS167" i="1" s="1"/>
  <c r="AP302" i="1"/>
  <c r="AQ302" i="1" s="1"/>
  <c r="AR302" i="1" s="1"/>
  <c r="AS302" i="1" s="1"/>
  <c r="AP188" i="1"/>
  <c r="AQ188" i="1" s="1"/>
  <c r="AR188" i="1" s="1"/>
  <c r="AS188" i="1" s="1"/>
  <c r="AP312" i="1"/>
  <c r="AQ312" i="1" s="1"/>
  <c r="AR312" i="1" s="1"/>
  <c r="AS312" i="1" s="1"/>
  <c r="AP71" i="1"/>
  <c r="AQ71" i="1" s="1"/>
  <c r="AR71" i="1" s="1"/>
  <c r="AS71" i="1" s="1"/>
  <c r="AP255" i="1"/>
  <c r="AQ255" i="1" s="1"/>
  <c r="AR255" i="1" s="1"/>
  <c r="AS255" i="1" s="1"/>
  <c r="AP206" i="1"/>
  <c r="AQ206" i="1" s="1"/>
  <c r="AR206" i="1" s="1"/>
  <c r="AS206" i="1" s="1"/>
  <c r="AP118" i="1"/>
  <c r="AQ118" i="1" s="1"/>
  <c r="AR118" i="1" s="1"/>
  <c r="AS118" i="1" s="1"/>
  <c r="AP243" i="1"/>
  <c r="AQ243" i="1" s="1"/>
  <c r="AR243" i="1" s="1"/>
  <c r="AS243" i="1" s="1"/>
  <c r="AP137" i="1"/>
  <c r="AQ137" i="1" s="1"/>
  <c r="AR137" i="1" s="1"/>
  <c r="AS137" i="1" s="1"/>
  <c r="AP237" i="1"/>
  <c r="AQ237" i="1" s="1"/>
  <c r="AR237" i="1" s="1"/>
  <c r="AS237" i="1" s="1"/>
  <c r="AP386" i="1"/>
  <c r="AQ386" i="1" s="1"/>
  <c r="AR386" i="1" s="1"/>
  <c r="AS386" i="1" s="1"/>
  <c r="AP285" i="1"/>
  <c r="AQ285" i="1" s="1"/>
  <c r="AR285" i="1" s="1"/>
  <c r="AS285" i="1" s="1"/>
  <c r="AP267" i="1"/>
  <c r="AQ267" i="1" s="1"/>
  <c r="AR267" i="1" s="1"/>
  <c r="AS267" i="1" s="1"/>
  <c r="AP341" i="1"/>
  <c r="AQ341" i="1" s="1"/>
  <c r="AR341" i="1" s="1"/>
  <c r="AS341" i="1" s="1"/>
  <c r="AP235" i="1"/>
  <c r="AQ235" i="1" s="1"/>
  <c r="AR235" i="1" s="1"/>
  <c r="AS235" i="1" s="1"/>
  <c r="AP279" i="1"/>
  <c r="AQ279" i="1" s="1"/>
  <c r="AR279" i="1" s="1"/>
  <c r="AS279" i="1" s="1"/>
  <c r="AP150" i="1"/>
  <c r="AQ150" i="1" s="1"/>
  <c r="AR150" i="1" s="1"/>
  <c r="AS150" i="1" s="1"/>
  <c r="AP59" i="1"/>
  <c r="AQ59" i="1" s="1"/>
  <c r="AR59" i="1" s="1"/>
  <c r="AS59" i="1" s="1"/>
  <c r="AP79" i="1"/>
  <c r="AQ79" i="1" s="1"/>
  <c r="AR79" i="1" s="1"/>
  <c r="AS79" i="1" s="1"/>
  <c r="AP95" i="1"/>
  <c r="AQ95" i="1" s="1"/>
  <c r="AR95" i="1" s="1"/>
  <c r="AS95" i="1" s="1"/>
  <c r="AP166" i="1"/>
  <c r="AQ166" i="1" s="1"/>
  <c r="AR166" i="1" s="1"/>
  <c r="AS166" i="1" s="1"/>
  <c r="AP398" i="1"/>
  <c r="AQ398" i="1" s="1"/>
  <c r="AR398" i="1" s="1"/>
  <c r="AS398" i="1" s="1"/>
  <c r="AP112" i="1"/>
  <c r="AQ112" i="1" s="1"/>
  <c r="AR112" i="1" s="1"/>
  <c r="AS112" i="1" s="1"/>
  <c r="AP208" i="1"/>
  <c r="AQ208" i="1" s="1"/>
  <c r="AR208" i="1" s="1"/>
  <c r="AS208" i="1" s="1"/>
  <c r="AP175" i="1"/>
  <c r="AQ175" i="1" s="1"/>
  <c r="AR175" i="1" s="1"/>
  <c r="AS175" i="1" s="1"/>
  <c r="AP109" i="1"/>
  <c r="AQ109" i="1" s="1"/>
  <c r="AR109" i="1" s="1"/>
  <c r="AS109" i="1" s="1"/>
  <c r="AP120" i="1"/>
  <c r="AQ120" i="1" s="1"/>
  <c r="AR120" i="1" s="1"/>
  <c r="AS120" i="1" s="1"/>
  <c r="AP410" i="1"/>
  <c r="AQ410" i="1" s="1"/>
  <c r="AR410" i="1" s="1"/>
  <c r="AS410" i="1" s="1"/>
  <c r="AP77" i="1"/>
  <c r="AQ77" i="1" s="1"/>
  <c r="AR77" i="1" s="1"/>
  <c r="AS77" i="1" s="1"/>
  <c r="AP83" i="1"/>
  <c r="AQ83" i="1" s="1"/>
  <c r="AR83" i="1" s="1"/>
  <c r="AS83" i="1" s="1"/>
  <c r="AP305" i="1"/>
  <c r="AQ305" i="1" s="1"/>
  <c r="AR305" i="1" s="1"/>
  <c r="AS305" i="1" s="1"/>
  <c r="AP265" i="1"/>
  <c r="AQ265" i="1" s="1"/>
  <c r="AR265" i="1" s="1"/>
  <c r="AS265" i="1" s="1"/>
  <c r="AP339" i="1"/>
  <c r="AQ339" i="1" s="1"/>
  <c r="AR339" i="1" s="1"/>
  <c r="AS339" i="1" s="1"/>
  <c r="AP212" i="1"/>
  <c r="AQ212" i="1" s="1"/>
  <c r="AR212" i="1" s="1"/>
  <c r="AS212" i="1" s="1"/>
  <c r="AP291" i="1"/>
  <c r="AQ291" i="1" s="1"/>
  <c r="AR291" i="1" s="1"/>
  <c r="AS291" i="1" s="1"/>
  <c r="AP54" i="1"/>
  <c r="AQ54" i="1" s="1"/>
  <c r="AR54" i="1" s="1"/>
  <c r="AS54" i="1" s="1"/>
  <c r="AP152" i="1"/>
  <c r="AQ152" i="1" s="1"/>
  <c r="AR152" i="1" s="1"/>
  <c r="AS152" i="1" s="1"/>
  <c r="AP138" i="1"/>
  <c r="AQ138" i="1" s="1"/>
  <c r="AR138" i="1" s="1"/>
  <c r="AS138" i="1" s="1"/>
  <c r="AP106" i="1"/>
  <c r="AQ106" i="1" s="1"/>
  <c r="AR106" i="1" s="1"/>
  <c r="AS106" i="1" s="1"/>
  <c r="AP314" i="1"/>
  <c r="AQ314" i="1" s="1"/>
  <c r="AR314" i="1" s="1"/>
  <c r="AS314" i="1" s="1"/>
  <c r="AP350" i="1"/>
  <c r="AQ350" i="1" s="1"/>
  <c r="AR350" i="1" s="1"/>
  <c r="AS350" i="1" s="1"/>
  <c r="AP98" i="1"/>
  <c r="AQ98" i="1" s="1"/>
  <c r="AR98" i="1" s="1"/>
  <c r="AS98" i="1" s="1"/>
  <c r="AP250" i="1"/>
  <c r="AQ250" i="1" s="1"/>
  <c r="AR250" i="1" s="1"/>
  <c r="AS250" i="1" s="1"/>
  <c r="AP170" i="1"/>
  <c r="AQ170" i="1" s="1"/>
  <c r="AR170" i="1" s="1"/>
  <c r="AS170" i="1" s="1"/>
  <c r="AP326" i="1"/>
  <c r="AQ326" i="1" s="1"/>
  <c r="AR326" i="1" s="1"/>
  <c r="AS326" i="1" s="1"/>
  <c r="AP190" i="1"/>
  <c r="AQ190" i="1" s="1"/>
  <c r="AR190" i="1" s="1"/>
  <c r="AS190" i="1" s="1"/>
  <c r="AP80" i="1"/>
  <c r="AQ80" i="1" s="1"/>
  <c r="AR80" i="1" s="1"/>
  <c r="AS80" i="1" s="1"/>
  <c r="AP192" i="1"/>
  <c r="AQ192" i="1" s="1"/>
  <c r="AR192" i="1" s="1"/>
  <c r="AS192" i="1" s="1"/>
  <c r="AP266" i="1"/>
  <c r="AQ266" i="1" s="1"/>
  <c r="AR266" i="1" s="1"/>
  <c r="AS266" i="1" s="1"/>
  <c r="AP177" i="1"/>
  <c r="AQ177" i="1" s="1"/>
  <c r="AR177" i="1" s="1"/>
  <c r="AS177" i="1" s="1"/>
  <c r="AP147" i="1"/>
  <c r="AQ147" i="1" s="1"/>
  <c r="AR147" i="1" s="1"/>
  <c r="AS147" i="1" s="1"/>
  <c r="AP294" i="1"/>
  <c r="AQ294" i="1" s="1"/>
  <c r="AR294" i="1" s="1"/>
  <c r="AS294" i="1" s="1"/>
  <c r="AP284" i="1"/>
  <c r="AQ284" i="1" s="1"/>
  <c r="AR284" i="1" s="1"/>
  <c r="AS284" i="1" s="1"/>
  <c r="AP246" i="1"/>
  <c r="AQ246" i="1" s="1"/>
  <c r="AR246" i="1" s="1"/>
  <c r="AS246" i="1" s="1"/>
  <c r="AP251" i="1"/>
  <c r="AQ251" i="1" s="1"/>
  <c r="AR251" i="1" s="1"/>
  <c r="AS251" i="1" s="1"/>
  <c r="AP315" i="1"/>
  <c r="AQ315" i="1" s="1"/>
  <c r="AR315" i="1" s="1"/>
  <c r="AS315" i="1" s="1"/>
  <c r="AP244" i="1"/>
  <c r="AQ244" i="1" s="1"/>
  <c r="AR244" i="1" s="1"/>
  <c r="AS244" i="1" s="1"/>
  <c r="AP389" i="1"/>
  <c r="AQ389" i="1" s="1"/>
  <c r="AR389" i="1" s="1"/>
  <c r="AS389" i="1" s="1"/>
  <c r="AP224" i="1"/>
  <c r="AQ224" i="1" s="1"/>
  <c r="AR224" i="1" s="1"/>
  <c r="AS224" i="1" s="1"/>
  <c r="AP352" i="1"/>
  <c r="AQ352" i="1" s="1"/>
  <c r="AR352" i="1" s="1"/>
  <c r="AS352" i="1" s="1"/>
  <c r="AP336" i="1"/>
  <c r="AQ336" i="1" s="1"/>
  <c r="AR336" i="1" s="1"/>
  <c r="AS336" i="1" s="1"/>
  <c r="AP277" i="1"/>
  <c r="AQ277" i="1" s="1"/>
  <c r="AR277" i="1" s="1"/>
  <c r="AS277" i="1" s="1"/>
  <c r="AP247" i="1"/>
  <c r="AQ247" i="1" s="1"/>
  <c r="AR247" i="1" s="1"/>
  <c r="AS247" i="1" s="1"/>
  <c r="AP356" i="1"/>
  <c r="AQ356" i="1" s="1"/>
  <c r="AR356" i="1" s="1"/>
  <c r="AS356" i="1" s="1"/>
  <c r="AP407" i="1"/>
  <c r="AQ407" i="1" s="1"/>
  <c r="AR407" i="1" s="1"/>
  <c r="AS407" i="1" s="1"/>
  <c r="AP309" i="1"/>
  <c r="AQ309" i="1" s="1"/>
  <c r="AR309" i="1" s="1"/>
  <c r="AS309" i="1" s="1"/>
  <c r="AP115" i="1"/>
  <c r="AQ115" i="1" s="1"/>
  <c r="AR115" i="1" s="1"/>
  <c r="AS115" i="1" s="1"/>
  <c r="AP333" i="1"/>
  <c r="AQ333" i="1" s="1"/>
  <c r="AR333" i="1" s="1"/>
  <c r="AS333" i="1" s="1"/>
  <c r="AP310" i="1"/>
  <c r="AQ310" i="1" s="1"/>
  <c r="AR310" i="1" s="1"/>
  <c r="AS310" i="1" s="1"/>
  <c r="AP399" i="1"/>
  <c r="AQ399" i="1" s="1"/>
  <c r="AR399" i="1" s="1"/>
  <c r="AS399" i="1" s="1"/>
  <c r="AP225" i="1"/>
  <c r="AQ225" i="1" s="1"/>
  <c r="AR225" i="1" s="1"/>
  <c r="AS225" i="1" s="1"/>
  <c r="AP88" i="1"/>
  <c r="AQ88" i="1" s="1"/>
  <c r="AR88" i="1" s="1"/>
  <c r="AS88" i="1" s="1"/>
  <c r="AP358" i="1"/>
  <c r="AQ358" i="1" s="1"/>
  <c r="AR358" i="1" s="1"/>
  <c r="AS358" i="1" s="1"/>
  <c r="AP396" i="1"/>
  <c r="AQ396" i="1" s="1"/>
  <c r="AR396" i="1" s="1"/>
  <c r="AS396" i="1" s="1"/>
  <c r="AP323" i="1"/>
  <c r="AQ323" i="1" s="1"/>
  <c r="AR323" i="1" s="1"/>
  <c r="AS323" i="1" s="1"/>
  <c r="AP331" i="1"/>
  <c r="AQ331" i="1" s="1"/>
  <c r="AR331" i="1" s="1"/>
  <c r="AS331" i="1" s="1"/>
  <c r="AP157" i="1"/>
  <c r="AQ157" i="1" s="1"/>
  <c r="AR157" i="1" s="1"/>
  <c r="AS157" i="1" s="1"/>
  <c r="AP232" i="1"/>
  <c r="AQ232" i="1" s="1"/>
  <c r="AR232" i="1" s="1"/>
  <c r="AS232" i="1" s="1"/>
  <c r="AP194" i="1"/>
  <c r="AQ194" i="1" s="1"/>
  <c r="AR194" i="1" s="1"/>
  <c r="AS194" i="1" s="1"/>
  <c r="AP195" i="1"/>
  <c r="AQ195" i="1" s="1"/>
  <c r="AR195" i="1" s="1"/>
  <c r="AS195" i="1" s="1"/>
  <c r="AP84" i="1"/>
  <c r="AQ84" i="1" s="1"/>
  <c r="AR84" i="1" s="1"/>
  <c r="AS84" i="1" s="1"/>
  <c r="AP349" i="1"/>
  <c r="AQ349" i="1" s="1"/>
  <c r="AR349" i="1" s="1"/>
  <c r="AS349" i="1" s="1"/>
  <c r="AP72" i="1"/>
  <c r="AQ72" i="1" s="1"/>
  <c r="AR72" i="1" s="1"/>
  <c r="AS72" i="1" s="1"/>
  <c r="AP261" i="1"/>
  <c r="AQ261" i="1" s="1"/>
  <c r="AR261" i="1" s="1"/>
  <c r="AS261" i="1" s="1"/>
  <c r="AP187" i="1"/>
  <c r="AQ187" i="1" s="1"/>
  <c r="AR187" i="1" s="1"/>
  <c r="AS187" i="1" s="1"/>
  <c r="AP361" i="1"/>
  <c r="AQ361" i="1" s="1"/>
  <c r="AR361" i="1" s="1"/>
  <c r="AS361" i="1" s="1"/>
  <c r="AP189" i="1"/>
  <c r="AQ189" i="1" s="1"/>
  <c r="AR189" i="1" s="1"/>
  <c r="AS189" i="1" s="1"/>
  <c r="AP169" i="1"/>
  <c r="AQ169" i="1" s="1"/>
  <c r="AR169" i="1" s="1"/>
  <c r="AS169" i="1" s="1"/>
  <c r="AP254" i="1"/>
  <c r="AQ254" i="1" s="1"/>
  <c r="AR254" i="1" s="1"/>
  <c r="AS254" i="1" s="1"/>
  <c r="AP394" i="1"/>
  <c r="AQ394" i="1" s="1"/>
  <c r="AR394" i="1" s="1"/>
  <c r="AS394" i="1" s="1"/>
  <c r="AP184" i="1"/>
  <c r="AQ184" i="1" s="1"/>
  <c r="AR184" i="1" s="1"/>
  <c r="AS184" i="1" s="1"/>
  <c r="AP191" i="1"/>
  <c r="AQ191" i="1" s="1"/>
  <c r="AR191" i="1" s="1"/>
  <c r="AS191" i="1" s="1"/>
  <c r="AP344" i="1"/>
  <c r="AQ344" i="1" s="1"/>
  <c r="AR344" i="1" s="1"/>
  <c r="AS344" i="1" s="1"/>
  <c r="AP74" i="1"/>
  <c r="AQ74" i="1" s="1"/>
  <c r="AR74" i="1" s="1"/>
  <c r="AS74" i="1" s="1"/>
  <c r="AP404" i="1"/>
  <c r="AQ404" i="1" s="1"/>
  <c r="AR404" i="1" s="1"/>
  <c r="AS404" i="1" s="1"/>
  <c r="AP134" i="1"/>
  <c r="AQ134" i="1" s="1"/>
  <c r="AR134" i="1" s="1"/>
  <c r="AS134" i="1" s="1"/>
  <c r="AP220" i="1"/>
  <c r="AQ220" i="1" s="1"/>
  <c r="AR220" i="1" s="1"/>
  <c r="AS220" i="1" s="1"/>
  <c r="AP230" i="1"/>
  <c r="AQ230" i="1" s="1"/>
  <c r="AR230" i="1" s="1"/>
  <c r="AS230" i="1" s="1"/>
  <c r="AP295" i="1"/>
  <c r="AQ295" i="1" s="1"/>
  <c r="AR295" i="1" s="1"/>
  <c r="AS295" i="1" s="1"/>
  <c r="AP329" i="1"/>
  <c r="AQ329" i="1" s="1"/>
  <c r="AR329" i="1" s="1"/>
  <c r="AS329" i="1" s="1"/>
  <c r="AP204" i="1"/>
  <c r="AQ204" i="1" s="1"/>
  <c r="AR204" i="1" s="1"/>
  <c r="AS204" i="1" s="1"/>
  <c r="AP160" i="1"/>
  <c r="AQ160" i="1" s="1"/>
  <c r="AR160" i="1" s="1"/>
  <c r="AS160" i="1" s="1"/>
  <c r="AP359" i="1"/>
  <c r="AQ359" i="1" s="1"/>
  <c r="AR359" i="1" s="1"/>
  <c r="AS359" i="1" s="1"/>
  <c r="AP114" i="1"/>
  <c r="AQ114" i="1" s="1"/>
  <c r="AR114" i="1" s="1"/>
  <c r="AS114" i="1" s="1"/>
  <c r="AP393" i="1"/>
  <c r="AQ393" i="1" s="1"/>
  <c r="AR393" i="1" s="1"/>
  <c r="AS393" i="1" s="1"/>
  <c r="AP242" i="1"/>
  <c r="AQ242" i="1" s="1"/>
  <c r="AR242" i="1" s="1"/>
  <c r="AS242" i="1" s="1"/>
  <c r="AP130" i="1"/>
  <c r="AQ130" i="1" s="1"/>
  <c r="AR130" i="1" s="1"/>
  <c r="AS130" i="1" s="1"/>
  <c r="AP322" i="1"/>
  <c r="AQ322" i="1" s="1"/>
  <c r="AR322" i="1" s="1"/>
  <c r="AS322" i="1" s="1"/>
  <c r="AP151" i="1"/>
  <c r="AQ151" i="1" s="1"/>
  <c r="AR151" i="1" s="1"/>
  <c r="AS151" i="1" s="1"/>
  <c r="AP248" i="1"/>
  <c r="AQ248" i="1" s="1"/>
  <c r="AR248" i="1" s="1"/>
  <c r="AS248" i="1" s="1"/>
  <c r="AP161" i="1"/>
  <c r="AQ161" i="1" s="1"/>
  <c r="AR161" i="1" s="1"/>
  <c r="AS161" i="1" s="1"/>
  <c r="AP313" i="1"/>
  <c r="AQ313" i="1" s="1"/>
  <c r="AR313" i="1" s="1"/>
  <c r="AS313" i="1" s="1"/>
  <c r="AP379" i="1"/>
  <c r="AQ379" i="1" s="1"/>
  <c r="AR379" i="1" s="1"/>
  <c r="AS379" i="1" s="1"/>
  <c r="AP401" i="1"/>
  <c r="AQ401" i="1" s="1"/>
  <c r="AR401" i="1" s="1"/>
  <c r="AS401" i="1" s="1"/>
  <c r="V73" i="159" l="1"/>
  <c r="S412" i="159"/>
  <c r="T412" i="159"/>
  <c r="AP400" i="1"/>
  <c r="AQ400" i="1" s="1"/>
  <c r="AR400" i="1" s="1"/>
  <c r="AS400" i="1" s="1"/>
  <c r="Q5" i="159"/>
  <c r="AO321" i="1" s="1"/>
  <c r="AP321" i="1" s="1"/>
  <c r="AQ321" i="1" s="1"/>
  <c r="AR321" i="1" s="1"/>
  <c r="AS321" i="1" s="1"/>
  <c r="AP347" i="1"/>
  <c r="AQ347" i="1" s="1"/>
  <c r="AR347" i="1" s="1"/>
  <c r="AS347" i="1" s="1"/>
  <c r="AN4" i="1"/>
  <c r="Q339" i="159"/>
  <c r="AO381" i="1" s="1"/>
  <c r="V340" i="159"/>
  <c r="V136" i="159"/>
  <c r="V331" i="159"/>
  <c r="Q340" i="159"/>
  <c r="AO34" i="1" s="1"/>
  <c r="Q210" i="159"/>
  <c r="AO180" i="1" s="1"/>
  <c r="V210" i="159"/>
  <c r="Q358" i="159"/>
  <c r="AO338" i="1" s="1"/>
  <c r="V358" i="159"/>
  <c r="Q136" i="159"/>
  <c r="AO49" i="1" s="1"/>
  <c r="V367" i="159"/>
  <c r="Q367" i="159"/>
  <c r="AO372" i="1" s="1"/>
  <c r="Q353" i="159"/>
  <c r="AO365" i="1" s="1"/>
  <c r="V353" i="159"/>
  <c r="Q380" i="159"/>
  <c r="AO12" i="1" s="1"/>
  <c r="V380" i="159"/>
  <c r="Q288" i="159"/>
  <c r="AO7" i="1" s="1"/>
  <c r="V288" i="159"/>
  <c r="V377" i="159"/>
  <c r="Q377" i="159"/>
  <c r="AO374" i="1" s="1"/>
  <c r="Q384" i="159"/>
  <c r="AO127" i="1" s="1"/>
  <c r="V384" i="159"/>
  <c r="Q338" i="159"/>
  <c r="AO319" i="1" s="1"/>
  <c r="V338" i="159"/>
  <c r="Q240" i="159"/>
  <c r="AO27" i="1" s="1"/>
  <c r="V240" i="159"/>
  <c r="Q391" i="159"/>
  <c r="AO258" i="1" s="1"/>
  <c r="AP258" i="1" s="1"/>
  <c r="AQ258" i="1" s="1"/>
  <c r="AR258" i="1" s="1"/>
  <c r="AS258" i="1" s="1"/>
  <c r="V391" i="159"/>
  <c r="Q334" i="159"/>
  <c r="AO297" i="1" s="1"/>
  <c r="V334" i="159"/>
  <c r="Q274" i="159"/>
  <c r="AO16" i="1" s="1"/>
  <c r="AP16" i="1" s="1"/>
  <c r="AQ16" i="1" s="1"/>
  <c r="AR16" i="1" s="1"/>
  <c r="AS16" i="1" s="1"/>
  <c r="V274" i="159"/>
  <c r="V339" i="159"/>
  <c r="Q79" i="159"/>
  <c r="AO289" i="1" s="1"/>
  <c r="AP289" i="1" s="1"/>
  <c r="AQ289" i="1" s="1"/>
  <c r="AR289" i="1" s="1"/>
  <c r="AS289" i="1" s="1"/>
  <c r="V79" i="159"/>
  <c r="V32" i="159"/>
  <c r="Q32" i="159"/>
  <c r="AO272" i="1" s="1"/>
  <c r="AP272" i="1" s="1"/>
  <c r="AQ272" i="1" s="1"/>
  <c r="AR272" i="1" s="1"/>
  <c r="AS272" i="1" s="1"/>
  <c r="Q375" i="159"/>
  <c r="AO129" i="1" s="1"/>
  <c r="V375" i="159"/>
  <c r="Q215" i="159"/>
  <c r="AO363" i="1" s="1"/>
  <c r="V215" i="159"/>
  <c r="V372" i="159"/>
  <c r="Q372" i="159"/>
  <c r="AO193" i="1" s="1"/>
  <c r="Q327" i="159"/>
  <c r="AO234" i="1" s="1"/>
  <c r="V327" i="159"/>
  <c r="V363" i="159"/>
  <c r="Q363" i="159"/>
  <c r="AO233" i="1" s="1"/>
  <c r="Q349" i="159"/>
  <c r="AO163" i="1" s="1"/>
  <c r="V349" i="159"/>
  <c r="V369" i="159"/>
  <c r="Q369" i="159"/>
  <c r="AO278" i="1" s="1"/>
  <c r="Q330" i="159"/>
  <c r="AO316" i="1" s="1"/>
  <c r="V330" i="159"/>
  <c r="Q84" i="159"/>
  <c r="AO122" i="1" s="1"/>
  <c r="V84" i="159"/>
  <c r="Q180" i="159"/>
  <c r="AO31" i="1" s="1"/>
  <c r="AP31" i="1" s="1"/>
  <c r="AQ31" i="1" s="1"/>
  <c r="AR31" i="1" s="1"/>
  <c r="AS31" i="1" s="1"/>
  <c r="V180" i="159"/>
  <c r="Q85" i="159"/>
  <c r="AO47" i="1" s="1"/>
  <c r="V85" i="159"/>
  <c r="Q7" i="159"/>
  <c r="AO19" i="1" s="1"/>
  <c r="V7" i="159"/>
  <c r="Q237" i="159"/>
  <c r="AO20" i="1" s="1"/>
  <c r="V237" i="159"/>
  <c r="Q207" i="159"/>
  <c r="AO201" i="1" s="1"/>
  <c r="V207" i="159"/>
  <c r="V5" i="159"/>
  <c r="V335" i="159"/>
  <c r="Q335" i="159"/>
  <c r="AO296" i="1" s="1"/>
  <c r="Q80" i="159"/>
  <c r="AO128" i="1" s="1"/>
  <c r="V80" i="159"/>
  <c r="Q373" i="159"/>
  <c r="AO215" i="1" s="1"/>
  <c r="V373" i="159"/>
  <c r="Q329" i="159"/>
  <c r="AO10" i="1" s="1"/>
  <c r="AP10" i="1" s="1"/>
  <c r="AQ10" i="1" s="1"/>
  <c r="AR10" i="1" s="1"/>
  <c r="AS10" i="1" s="1"/>
  <c r="V329" i="159"/>
  <c r="Q346" i="159"/>
  <c r="AO9" i="1" s="1"/>
  <c r="AP9" i="1" s="1"/>
  <c r="AQ9" i="1" s="1"/>
  <c r="AR9" i="1" s="1"/>
  <c r="AS9" i="1" s="1"/>
  <c r="V346" i="159"/>
  <c r="Q325" i="159"/>
  <c r="AO257" i="1" s="1"/>
  <c r="V325" i="159"/>
  <c r="Q333" i="159"/>
  <c r="AO301" i="1" s="1"/>
  <c r="V333" i="159"/>
  <c r="Q83" i="159"/>
  <c r="AO337" i="1" s="1"/>
  <c r="V83" i="159"/>
  <c r="V323" i="159"/>
  <c r="Q323" i="159"/>
  <c r="AO165" i="1" s="1"/>
  <c r="V31" i="159"/>
  <c r="Q31" i="159"/>
  <c r="AO387" i="1" s="1"/>
  <c r="AP387" i="1" s="1"/>
  <c r="AQ387" i="1" s="1"/>
  <c r="AR387" i="1" s="1"/>
  <c r="AS387" i="1" s="1"/>
  <c r="V86" i="159"/>
  <c r="Q86" i="159"/>
  <c r="AO124" i="1" s="1"/>
  <c r="Q92" i="159"/>
  <c r="AO26" i="1" s="1"/>
  <c r="V92" i="159"/>
  <c r="Q362" i="159"/>
  <c r="AO340" i="1" s="1"/>
  <c r="V362" i="159"/>
  <c r="Q342" i="159"/>
  <c r="AO30" i="1" s="1"/>
  <c r="V342" i="159"/>
  <c r="Q326" i="159"/>
  <c r="AO283" i="1" s="1"/>
  <c r="V326" i="159"/>
  <c r="Q214" i="159"/>
  <c r="AO213" i="1" s="1"/>
  <c r="V214" i="159"/>
  <c r="Q322" i="159"/>
  <c r="AO33" i="1" s="1"/>
  <c r="V322" i="159"/>
  <c r="Q368" i="159"/>
  <c r="AO111" i="1" s="1"/>
  <c r="V368" i="159"/>
  <c r="V337" i="159"/>
  <c r="Q337" i="159"/>
  <c r="AO173" i="1" s="1"/>
  <c r="V145" i="159"/>
  <c r="Q145" i="159"/>
  <c r="AO22" i="1" s="1"/>
  <c r="AP22" i="1" s="1"/>
  <c r="AQ22" i="1" s="1"/>
  <c r="AR22" i="1" s="1"/>
  <c r="AS22" i="1" s="1"/>
  <c r="Q211" i="159"/>
  <c r="AO355" i="1" s="1"/>
  <c r="V211" i="159"/>
  <c r="Q354" i="159"/>
  <c r="AO183" i="1" s="1"/>
  <c r="V354" i="159"/>
  <c r="Q331" i="159"/>
  <c r="AO318" i="1" s="1"/>
  <c r="V209" i="159"/>
  <c r="Q209" i="159"/>
  <c r="AO168" i="1" s="1"/>
  <c r="V299" i="159"/>
  <c r="Q299" i="159"/>
  <c r="AO48" i="1" s="1"/>
  <c r="AP48" i="1" s="1"/>
  <c r="AQ48" i="1" s="1"/>
  <c r="Q109" i="159"/>
  <c r="AO52" i="1" s="1"/>
  <c r="V109" i="159"/>
  <c r="Q371" i="159"/>
  <c r="AO40" i="1" s="1"/>
  <c r="V371" i="159"/>
  <c r="Q230" i="159"/>
  <c r="AO17" i="1" s="1"/>
  <c r="AP17" i="1" s="1"/>
  <c r="AQ17" i="1" s="1"/>
  <c r="AR17" i="1" s="1"/>
  <c r="AS17" i="1" s="1"/>
  <c r="V230" i="159"/>
  <c r="V206" i="159"/>
  <c r="Q206" i="159"/>
  <c r="AO164" i="1" s="1"/>
  <c r="V382" i="159"/>
  <c r="Q382" i="159"/>
  <c r="AO303" i="1" s="1"/>
  <c r="Q355" i="159"/>
  <c r="AO367" i="1" s="1"/>
  <c r="V355" i="159"/>
  <c r="Q351" i="159"/>
  <c r="AO342" i="1" s="1"/>
  <c r="V351" i="159"/>
  <c r="V350" i="159"/>
  <c r="Q350" i="159"/>
  <c r="AO369" i="1" s="1"/>
  <c r="AP369" i="1" s="1"/>
  <c r="AQ369" i="1" s="1"/>
  <c r="AR369" i="1" s="1"/>
  <c r="AS369" i="1" s="1"/>
  <c r="Q82" i="159"/>
  <c r="AO132" i="1" s="1"/>
  <c r="V82" i="159"/>
  <c r="Q374" i="159"/>
  <c r="AO200" i="1" s="1"/>
  <c r="V374" i="159"/>
  <c r="Q328" i="159"/>
  <c r="AO35" i="1" s="1"/>
  <c r="V328" i="159"/>
  <c r="Q293" i="159"/>
  <c r="AO13" i="1" s="1"/>
  <c r="V293" i="159"/>
  <c r="P412" i="159"/>
  <c r="U412" i="159"/>
  <c r="R412" i="159"/>
  <c r="B15" i="102"/>
  <c r="B12" i="102"/>
  <c r="B5" i="102"/>
  <c r="B11" i="102"/>
  <c r="AP38" i="1"/>
  <c r="AQ38" i="1" s="1"/>
  <c r="AR38" i="1" s="1"/>
  <c r="AS38" i="1" s="1"/>
  <c r="AP37" i="1"/>
  <c r="AQ37" i="1" s="1"/>
  <c r="AR37" i="1" s="1"/>
  <c r="AS37" i="1" s="1"/>
  <c r="B6" i="102"/>
  <c r="AP42" i="1"/>
  <c r="AQ42" i="1" s="1"/>
  <c r="AR42" i="1" s="1"/>
  <c r="AS42" i="1" s="1"/>
  <c r="AP39" i="1"/>
  <c r="AQ39" i="1" s="1"/>
  <c r="AR39" i="1" s="1"/>
  <c r="AS39" i="1" s="1"/>
  <c r="B9" i="102"/>
  <c r="AP53" i="1"/>
  <c r="AQ53" i="1" s="1"/>
  <c r="AR53" i="1" s="1"/>
  <c r="AS53" i="1" s="1"/>
  <c r="AP11" i="1"/>
  <c r="AQ11" i="1" s="1"/>
  <c r="AR11" i="1" s="1"/>
  <c r="AS11" i="1" s="1"/>
  <c r="AP14" i="1"/>
  <c r="AP45" i="1"/>
  <c r="AQ45" i="1" s="1"/>
  <c r="AR45" i="1" s="1"/>
  <c r="AS45" i="1" s="1"/>
  <c r="AP51" i="1"/>
  <c r="AQ51" i="1" s="1"/>
  <c r="AR51" i="1" s="1"/>
  <c r="AS51" i="1" s="1"/>
  <c r="AP28" i="1"/>
  <c r="AP23" i="1"/>
  <c r="AP8" i="1"/>
  <c r="AP21" i="1"/>
  <c r="AQ21" i="1" s="1"/>
  <c r="AR21" i="1" s="1"/>
  <c r="AS21" i="1" s="1"/>
  <c r="AP15" i="1"/>
  <c r="AQ15" i="1" s="1"/>
  <c r="AR15" i="1" s="1"/>
  <c r="AS15" i="1" s="1"/>
  <c r="AP24" i="1"/>
  <c r="AQ24" i="1" s="1"/>
  <c r="AR24" i="1" s="1"/>
  <c r="AS24" i="1" s="1"/>
  <c r="AP25" i="1"/>
  <c r="AQ25" i="1" s="1"/>
  <c r="AR25" i="1" s="1"/>
  <c r="AS25" i="1" s="1"/>
  <c r="AP44" i="1"/>
  <c r="AQ44" i="1" s="1"/>
  <c r="AR44" i="1" s="1"/>
  <c r="AS44" i="1" s="1"/>
  <c r="AP32" i="1"/>
  <c r="AQ32" i="1" s="1"/>
  <c r="AR32" i="1" s="1"/>
  <c r="AS32" i="1" s="1"/>
  <c r="B7" i="102"/>
  <c r="AP43" i="1"/>
  <c r="AQ43" i="1" s="1"/>
  <c r="AR43" i="1" s="1"/>
  <c r="AS43" i="1" s="1"/>
  <c r="C10" i="102"/>
  <c r="AP50" i="1"/>
  <c r="AQ50" i="1" s="1"/>
  <c r="AR50" i="1" s="1"/>
  <c r="AS50" i="1" s="1"/>
  <c r="AP18" i="1"/>
  <c r="AQ18" i="1" s="1"/>
  <c r="AR18" i="1" s="1"/>
  <c r="AS18" i="1" s="1"/>
  <c r="B17" i="102"/>
  <c r="P3" i="71"/>
  <c r="O3" i="71"/>
  <c r="AP91" i="1"/>
  <c r="AQ91" i="1" s="1"/>
  <c r="AR91" i="1" s="1"/>
  <c r="AS91" i="1" s="1"/>
  <c r="AP377" i="1"/>
  <c r="AQ377" i="1" s="1"/>
  <c r="AR377" i="1" s="1"/>
  <c r="AS377" i="1" s="1"/>
  <c r="AP110" i="1"/>
  <c r="AQ110" i="1" s="1"/>
  <c r="AR110" i="1" s="1"/>
  <c r="AS110" i="1" s="1"/>
  <c r="AP104" i="1"/>
  <c r="AQ104" i="1" s="1"/>
  <c r="AR104" i="1" s="1"/>
  <c r="AS104" i="1" s="1"/>
  <c r="AP253" i="1"/>
  <c r="AQ253" i="1" s="1"/>
  <c r="AR253" i="1" s="1"/>
  <c r="AS253" i="1" s="1"/>
  <c r="AP345" i="1"/>
  <c r="AQ345" i="1" s="1"/>
  <c r="AR345" i="1" s="1"/>
  <c r="AS345" i="1" s="1"/>
  <c r="AP357" i="1"/>
  <c r="AQ357" i="1" s="1"/>
  <c r="AR357" i="1" s="1"/>
  <c r="AS357" i="1" s="1"/>
  <c r="AP46" i="1"/>
  <c r="AQ46" i="1" s="1"/>
  <c r="AR46" i="1" s="1"/>
  <c r="AS46" i="1" s="1"/>
  <c r="AP29" i="1"/>
  <c r="AQ29" i="1" s="1"/>
  <c r="AP397" i="1"/>
  <c r="AQ397" i="1" s="1"/>
  <c r="AR397" i="1" s="1"/>
  <c r="AS397" i="1" s="1"/>
  <c r="AP94" i="1"/>
  <c r="AQ94" i="1" s="1"/>
  <c r="AR94" i="1" s="1"/>
  <c r="AS94" i="1" s="1"/>
  <c r="AP121" i="1"/>
  <c r="AQ121" i="1" s="1"/>
  <c r="AR121" i="1" s="1"/>
  <c r="AS121" i="1" s="1"/>
  <c r="AP149" i="1"/>
  <c r="AQ149" i="1" s="1"/>
  <c r="AR149" i="1" s="1"/>
  <c r="AS149" i="1" s="1"/>
  <c r="AP93" i="1"/>
  <c r="AQ93" i="1" s="1"/>
  <c r="AR93" i="1" s="1"/>
  <c r="AS93" i="1" s="1"/>
  <c r="AP199" i="1"/>
  <c r="AQ199" i="1" s="1"/>
  <c r="AR199" i="1" s="1"/>
  <c r="AS199" i="1" s="1"/>
  <c r="AP368" i="1"/>
  <c r="AQ368" i="1" s="1"/>
  <c r="AR368" i="1" s="1"/>
  <c r="AS368" i="1" s="1"/>
  <c r="AP293" i="1"/>
  <c r="AQ293" i="1" s="1"/>
  <c r="AR293" i="1" s="1"/>
  <c r="AS293" i="1" s="1"/>
  <c r="AP107" i="1"/>
  <c r="AQ107" i="1" s="1"/>
  <c r="AR107" i="1" s="1"/>
  <c r="AS107" i="1" s="1"/>
  <c r="AP370" i="1"/>
  <c r="AQ370" i="1" s="1"/>
  <c r="AR370" i="1" s="1"/>
  <c r="AS370" i="1" s="1"/>
  <c r="AP264" i="1"/>
  <c r="AQ264" i="1" s="1"/>
  <c r="AR264" i="1" s="1"/>
  <c r="AS264" i="1" s="1"/>
  <c r="AP317" i="1"/>
  <c r="AQ317" i="1" s="1"/>
  <c r="AR317" i="1" s="1"/>
  <c r="AS317" i="1" s="1"/>
  <c r="AP366" i="1"/>
  <c r="AQ366" i="1" s="1"/>
  <c r="AR366" i="1" s="1"/>
  <c r="AS366" i="1" s="1"/>
  <c r="AP340" i="1" l="1"/>
  <c r="AQ340" i="1" s="1"/>
  <c r="AR340" i="1" s="1"/>
  <c r="AS340" i="1" s="1"/>
  <c r="AP33" i="1"/>
  <c r="AQ33" i="1" s="1"/>
  <c r="AR33" i="1" s="1"/>
  <c r="AS33" i="1" s="1"/>
  <c r="AP234" i="1"/>
  <c r="AQ234" i="1" s="1"/>
  <c r="AR234" i="1" s="1"/>
  <c r="AS234" i="1" s="1"/>
  <c r="AP7" i="1"/>
  <c r="AQ7" i="1" s="1"/>
  <c r="AO4" i="1"/>
  <c r="AP111" i="1"/>
  <c r="AQ111" i="1" s="1"/>
  <c r="AR111" i="1" s="1"/>
  <c r="AS111" i="1" s="1"/>
  <c r="AP183" i="1"/>
  <c r="AQ183" i="1" s="1"/>
  <c r="AR183" i="1" s="1"/>
  <c r="AS183" i="1" s="1"/>
  <c r="AP278" i="1"/>
  <c r="AQ278" i="1" s="1"/>
  <c r="AR278" i="1" s="1"/>
  <c r="AS278" i="1" s="1"/>
  <c r="AP303" i="1"/>
  <c r="AQ303" i="1" s="1"/>
  <c r="AR303" i="1" s="1"/>
  <c r="AS303" i="1" s="1"/>
  <c r="AP296" i="1"/>
  <c r="AQ296" i="1" s="1"/>
  <c r="AR296" i="1" s="1"/>
  <c r="AS296" i="1" s="1"/>
  <c r="AP127" i="1"/>
  <c r="AQ127" i="1" s="1"/>
  <c r="AR127" i="1" s="1"/>
  <c r="AS127" i="1" s="1"/>
  <c r="AP132" i="1"/>
  <c r="AQ132" i="1" s="1"/>
  <c r="AR132" i="1" s="1"/>
  <c r="AS132" i="1" s="1"/>
  <c r="AP165" i="1"/>
  <c r="AQ165" i="1" s="1"/>
  <c r="AR165" i="1" s="1"/>
  <c r="AS165" i="1" s="1"/>
  <c r="AP365" i="1"/>
  <c r="AQ365" i="1" s="1"/>
  <c r="AR365" i="1" s="1"/>
  <c r="AS365" i="1" s="1"/>
  <c r="AP297" i="1"/>
  <c r="AQ297" i="1" s="1"/>
  <c r="AR297" i="1" s="1"/>
  <c r="AS297" i="1" s="1"/>
  <c r="AP34" i="1"/>
  <c r="AQ34" i="1" s="1"/>
  <c r="AR34" i="1" s="1"/>
  <c r="AS34" i="1" s="1"/>
  <c r="AP164" i="1"/>
  <c r="AQ164" i="1" s="1"/>
  <c r="AR164" i="1" s="1"/>
  <c r="AS164" i="1" s="1"/>
  <c r="AP363" i="1"/>
  <c r="AQ363" i="1" s="1"/>
  <c r="AR363" i="1" s="1"/>
  <c r="AS363" i="1" s="1"/>
  <c r="AP163" i="1"/>
  <c r="AQ163" i="1" s="1"/>
  <c r="AR163" i="1" s="1"/>
  <c r="AS163" i="1" s="1"/>
  <c r="AP124" i="1"/>
  <c r="AQ124" i="1" s="1"/>
  <c r="AR124" i="1" s="1"/>
  <c r="AS124" i="1" s="1"/>
  <c r="AP381" i="1"/>
  <c r="AQ381" i="1" s="1"/>
  <c r="AR381" i="1" s="1"/>
  <c r="AS381" i="1" s="1"/>
  <c r="AP233" i="1"/>
  <c r="AQ233" i="1" s="1"/>
  <c r="AR233" i="1" s="1"/>
  <c r="AS233" i="1" s="1"/>
  <c r="AP40" i="1"/>
  <c r="AQ40" i="1" s="1"/>
  <c r="AR40" i="1" s="1"/>
  <c r="AS40" i="1" s="1"/>
  <c r="AP215" i="1"/>
  <c r="AQ215" i="1" s="1"/>
  <c r="AR215" i="1" s="1"/>
  <c r="AS215" i="1" s="1"/>
  <c r="AP201" i="1"/>
  <c r="AQ201" i="1" s="1"/>
  <c r="AR201" i="1" s="1"/>
  <c r="AS201" i="1" s="1"/>
  <c r="AP283" i="1"/>
  <c r="AQ283" i="1" s="1"/>
  <c r="AR283" i="1" s="1"/>
  <c r="AS283" i="1" s="1"/>
  <c r="AP301" i="1"/>
  <c r="AQ301" i="1" s="1"/>
  <c r="AR301" i="1" s="1"/>
  <c r="AS301" i="1" s="1"/>
  <c r="AP318" i="1"/>
  <c r="AQ318" i="1" s="1"/>
  <c r="AR318" i="1" s="1"/>
  <c r="AS318" i="1" s="1"/>
  <c r="AP355" i="1"/>
  <c r="AQ355" i="1" s="1"/>
  <c r="AR355" i="1" s="1"/>
  <c r="AS355" i="1" s="1"/>
  <c r="AP168" i="1"/>
  <c r="AQ168" i="1" s="1"/>
  <c r="AR168" i="1" s="1"/>
  <c r="AS168" i="1" s="1"/>
  <c r="AP213" i="1"/>
  <c r="AQ213" i="1" s="1"/>
  <c r="AR213" i="1" s="1"/>
  <c r="AS213" i="1" s="1"/>
  <c r="AP337" i="1"/>
  <c r="AQ337" i="1" s="1"/>
  <c r="AR337" i="1" s="1"/>
  <c r="AS337" i="1" s="1"/>
  <c r="AP374" i="1"/>
  <c r="AQ374" i="1" s="1"/>
  <c r="AR374" i="1" s="1"/>
  <c r="AS374" i="1" s="1"/>
  <c r="AP372" i="1"/>
  <c r="AQ372" i="1" s="1"/>
  <c r="AR372" i="1" s="1"/>
  <c r="AS372" i="1" s="1"/>
  <c r="AP316" i="1"/>
  <c r="AQ316" i="1" s="1"/>
  <c r="AR316" i="1" s="1"/>
  <c r="AS316" i="1" s="1"/>
  <c r="AP193" i="1"/>
  <c r="AQ193" i="1" s="1"/>
  <c r="AR193" i="1" s="1"/>
  <c r="AS193" i="1" s="1"/>
  <c r="AP128" i="1"/>
  <c r="AQ128" i="1" s="1"/>
  <c r="AR128" i="1" s="1"/>
  <c r="AS128" i="1" s="1"/>
  <c r="AP129" i="1"/>
  <c r="AQ129" i="1" s="1"/>
  <c r="AR129" i="1" s="1"/>
  <c r="AS129" i="1" s="1"/>
  <c r="AP257" i="1"/>
  <c r="AQ257" i="1" s="1"/>
  <c r="AR257" i="1" s="1"/>
  <c r="AS257" i="1" s="1"/>
  <c r="AP122" i="1"/>
  <c r="AQ122" i="1" s="1"/>
  <c r="AR122" i="1" s="1"/>
  <c r="AS122" i="1" s="1"/>
  <c r="AP342" i="1"/>
  <c r="AQ342" i="1" s="1"/>
  <c r="AR342" i="1" s="1"/>
  <c r="AS342" i="1" s="1"/>
  <c r="AP35" i="1"/>
  <c r="AQ35" i="1" s="1"/>
  <c r="AR35" i="1" s="1"/>
  <c r="AS35" i="1" s="1"/>
  <c r="AP367" i="1"/>
  <c r="AQ367" i="1" s="1"/>
  <c r="AR367" i="1" s="1"/>
  <c r="AS367" i="1" s="1"/>
  <c r="AP200" i="1"/>
  <c r="AQ200" i="1" s="1"/>
  <c r="AR200" i="1" s="1"/>
  <c r="AS200" i="1" s="1"/>
  <c r="V412" i="159"/>
  <c r="Q412" i="159"/>
  <c r="B16" i="102"/>
  <c r="B13" i="102"/>
  <c r="AP180" i="1"/>
  <c r="AQ180" i="1" s="1"/>
  <c r="AR180" i="1" s="1"/>
  <c r="AS180" i="1" s="1"/>
  <c r="AP49" i="1"/>
  <c r="AQ49" i="1" s="1"/>
  <c r="AR49" i="1" s="1"/>
  <c r="AS49" i="1" s="1"/>
  <c r="AP171" i="1"/>
  <c r="AQ171" i="1" s="1"/>
  <c r="AR171" i="1" s="1"/>
  <c r="AS171" i="1" s="1"/>
  <c r="AP27" i="1"/>
  <c r="AQ27" i="1" s="1"/>
  <c r="AR27" i="1" s="1"/>
  <c r="AS27" i="1" s="1"/>
  <c r="AP173" i="1"/>
  <c r="AQ173" i="1" s="1"/>
  <c r="AR173" i="1" s="1"/>
  <c r="AS173" i="1" s="1"/>
  <c r="AP319" i="1"/>
  <c r="AQ319" i="1" s="1"/>
  <c r="AR319" i="1" s="1"/>
  <c r="AS319" i="1" s="1"/>
  <c r="AP20" i="1"/>
  <c r="AQ20" i="1" s="1"/>
  <c r="AR20" i="1" s="1"/>
  <c r="AS20" i="1" s="1"/>
  <c r="AP338" i="1"/>
  <c r="AQ338" i="1" s="1"/>
  <c r="AR338" i="1" s="1"/>
  <c r="AS338" i="1" s="1"/>
  <c r="C5" i="102"/>
  <c r="AP90" i="1"/>
  <c r="AQ90" i="1" s="1"/>
  <c r="AR90" i="1" s="1"/>
  <c r="AS90" i="1" s="1"/>
  <c r="B14" i="102"/>
  <c r="AP41" i="1"/>
  <c r="AP47" i="1"/>
  <c r="AQ47" i="1" s="1"/>
  <c r="AR47" i="1" s="1"/>
  <c r="AS47" i="1" s="1"/>
  <c r="C6" i="102"/>
  <c r="C11" i="102"/>
  <c r="B8" i="102"/>
  <c r="C9" i="102"/>
  <c r="AP30" i="1"/>
  <c r="AQ30" i="1" s="1"/>
  <c r="AR30" i="1" s="1"/>
  <c r="AS30" i="1" s="1"/>
  <c r="AP12" i="1"/>
  <c r="AQ12" i="1" s="1"/>
  <c r="AR12" i="1" s="1"/>
  <c r="AS12" i="1" s="1"/>
  <c r="AP6" i="1"/>
  <c r="AQ14" i="1"/>
  <c r="D9" i="102"/>
  <c r="AP13" i="1"/>
  <c r="AQ28" i="1"/>
  <c r="AQ8" i="1"/>
  <c r="AR48" i="1"/>
  <c r="AS48" i="1" s="1"/>
  <c r="AQ23" i="1"/>
  <c r="D11" i="102"/>
  <c r="AP52" i="1"/>
  <c r="D6" i="102"/>
  <c r="AR29" i="1"/>
  <c r="AP26" i="1"/>
  <c r="AQ6" i="1" l="1"/>
  <c r="AR6" i="1" s="1"/>
  <c r="C12" i="102"/>
  <c r="AP19" i="1"/>
  <c r="D5" i="102" s="1"/>
  <c r="C15" i="102"/>
  <c r="D13" i="102"/>
  <c r="C13" i="102"/>
  <c r="B3" i="102"/>
  <c r="D17" i="102"/>
  <c r="E17" i="102"/>
  <c r="C16" i="102"/>
  <c r="AQ41" i="1"/>
  <c r="E10" i="102" s="1"/>
  <c r="D10" i="102"/>
  <c r="C17" i="102"/>
  <c r="C14" i="102"/>
  <c r="C8" i="102"/>
  <c r="D8" i="102"/>
  <c r="AP36" i="1"/>
  <c r="C7" i="102"/>
  <c r="AS29" i="1"/>
  <c r="G17" i="102" s="1"/>
  <c r="F17" i="102"/>
  <c r="H17" i="102" s="1"/>
  <c r="I17" i="102" s="1"/>
  <c r="AQ52" i="1"/>
  <c r="AQ13" i="1"/>
  <c r="D12" i="102"/>
  <c r="AR8" i="1"/>
  <c r="D16" i="102"/>
  <c r="AR14" i="1"/>
  <c r="E9" i="102"/>
  <c r="AR7" i="1"/>
  <c r="E6" i="102"/>
  <c r="AQ26" i="1"/>
  <c r="D15" i="102"/>
  <c r="AR23" i="1"/>
  <c r="E11" i="102"/>
  <c r="E13" i="102"/>
  <c r="AR28" i="1"/>
  <c r="AP4" i="1" l="1"/>
  <c r="AQ19" i="1"/>
  <c r="E5" i="102" s="1"/>
  <c r="AR41" i="1"/>
  <c r="F10" i="102" s="1"/>
  <c r="H10" i="102" s="1"/>
  <c r="I10" i="102" s="1"/>
  <c r="E8" i="102"/>
  <c r="D14" i="102"/>
  <c r="C3" i="102"/>
  <c r="AQ36" i="1"/>
  <c r="D7" i="102"/>
  <c r="F11" i="102"/>
  <c r="H11" i="102" s="1"/>
  <c r="I11" i="102" s="1"/>
  <c r="AS23" i="1"/>
  <c r="G11" i="102" s="1"/>
  <c r="AR52" i="1"/>
  <c r="AS7" i="1"/>
  <c r="G6" i="102" s="1"/>
  <c r="F6" i="102"/>
  <c r="H6" i="102" s="1"/>
  <c r="I6" i="102" s="1"/>
  <c r="F13" i="102"/>
  <c r="H13" i="102" s="1"/>
  <c r="I13" i="102" s="1"/>
  <c r="AS8" i="1"/>
  <c r="F9" i="102"/>
  <c r="H9" i="102" s="1"/>
  <c r="I9" i="102" s="1"/>
  <c r="AS14" i="1"/>
  <c r="G9" i="102" s="1"/>
  <c r="E16" i="102"/>
  <c r="AR26" i="1"/>
  <c r="E15" i="102"/>
  <c r="AS28" i="1"/>
  <c r="AS6" i="1"/>
  <c r="AR13" i="1"/>
  <c r="E12" i="102"/>
  <c r="AR19" i="1" l="1"/>
  <c r="F5" i="102" s="1"/>
  <c r="H5" i="102" s="1"/>
  <c r="AQ4" i="1"/>
  <c r="AS41" i="1"/>
  <c r="G10" i="102" s="1"/>
  <c r="E14" i="102"/>
  <c r="F8" i="102"/>
  <c r="H8" i="102" s="1"/>
  <c r="I8" i="102" s="1"/>
  <c r="D3" i="102"/>
  <c r="G13" i="102"/>
  <c r="AR36" i="1"/>
  <c r="AR4" i="1" s="1"/>
  <c r="E7" i="102"/>
  <c r="AS26" i="1"/>
  <c r="G15" i="102" s="1"/>
  <c r="F15" i="102"/>
  <c r="H15" i="102" s="1"/>
  <c r="I15" i="102" s="1"/>
  <c r="AS13" i="1"/>
  <c r="G12" i="102" s="1"/>
  <c r="F12" i="102"/>
  <c r="H12" i="102" s="1"/>
  <c r="I12" i="102" s="1"/>
  <c r="F16" i="102"/>
  <c r="H16" i="102" s="1"/>
  <c r="I16" i="102" s="1"/>
  <c r="AS52" i="1"/>
  <c r="AS19" i="1" l="1"/>
  <c r="G16" i="102" s="1"/>
  <c r="E3" i="102"/>
  <c r="F14" i="102"/>
  <c r="H14" i="102" s="1"/>
  <c r="I14" i="102" s="1"/>
  <c r="G8" i="102"/>
  <c r="AS36" i="1"/>
  <c r="G7" i="102" s="1"/>
  <c r="F7" i="102"/>
  <c r="H7" i="102" s="1"/>
  <c r="I7" i="102" s="1"/>
  <c r="I5" i="102"/>
  <c r="G5" i="102" l="1"/>
  <c r="AS4" i="1"/>
  <c r="G14" i="102"/>
  <c r="H3" i="102"/>
  <c r="F3" i="102"/>
  <c r="G3" i="102" l="1"/>
</calcChain>
</file>

<file path=xl/sharedStrings.xml><?xml version="1.0" encoding="utf-8"?>
<sst xmlns="http://schemas.openxmlformats.org/spreadsheetml/2006/main" count="9900" uniqueCount="3017">
  <si>
    <t>Master TPI</t>
  </si>
  <si>
    <t>NPI</t>
  </si>
  <si>
    <t>PROVIDER NAME</t>
  </si>
  <si>
    <t>SDA</t>
  </si>
  <si>
    <t>365048301</t>
  </si>
  <si>
    <t>1669732178</t>
  </si>
  <si>
    <t xml:space="preserve">AD HOSPITAL EAST LLC-                                                  </t>
  </si>
  <si>
    <t>282322101</t>
  </si>
  <si>
    <t>1407169196</t>
  </si>
  <si>
    <t xml:space="preserve">AMH CATH LABS, LLC-TEXAS HEALTH HEART &amp; VASCULAR HOSPITAL ARLINGTON  </t>
  </si>
  <si>
    <t>364187001</t>
  </si>
  <si>
    <t>1457393571</t>
  </si>
  <si>
    <t xml:space="preserve">ANSON HOSPITAL DISTRICT-                                                  </t>
  </si>
  <si>
    <t>020834001</t>
  </si>
  <si>
    <t>1730132234</t>
  </si>
  <si>
    <t xml:space="preserve">MEMORIAL HERMANN HEALTH SYSTEM-MHHS THE WOODLANDS  HOSPITAL                      </t>
  </si>
  <si>
    <t>387515501</t>
  </si>
  <si>
    <t>1417465824</t>
  </si>
  <si>
    <t xml:space="preserve">ATHENS HOSPITAL LLC-UT HEALTH EAST TEXAS ATHENS HOSPITAL              </t>
  </si>
  <si>
    <t>282268601</t>
  </si>
  <si>
    <t>1386882488</t>
  </si>
  <si>
    <t xml:space="preserve">ATRIUM MEDICAL CENTER  LP-                                                  </t>
  </si>
  <si>
    <t>094215302</t>
  </si>
  <si>
    <t>1245292630</t>
  </si>
  <si>
    <t xml:space="preserve">AUSTIN CENTER FOR OUTPATIENT SURGERY   LP-NORTHWEST HILLS SURGICAL HOSPITAL                 </t>
  </si>
  <si>
    <t>151691601</t>
  </si>
  <si>
    <t>1609855139</t>
  </si>
  <si>
    <t xml:space="preserve">BAYLOR HEART AND VASCULAR CENTER                  </t>
  </si>
  <si>
    <t>344925801</t>
  </si>
  <si>
    <t>1952509465</t>
  </si>
  <si>
    <t xml:space="preserve">BAYLOR MEDICAL CENTER AT CARROLLTON-BAYLOR SCOTT &amp; WHITE MEDICAL CENTER -CARROLLTON   </t>
  </si>
  <si>
    <t>121776205</t>
  </si>
  <si>
    <t>1992700983</t>
  </si>
  <si>
    <t xml:space="preserve">BAYLOR MEDICAL CENTER AT IRVING-                                                  </t>
  </si>
  <si>
    <t>314161601</t>
  </si>
  <si>
    <t>1124305065</t>
  </si>
  <si>
    <t xml:space="preserve">BAYLOR MEDICAL CENTERS AT GARLAND AND MCKINNEY-BAYLOR SCOTT AND WHITE MEDICAL CENTER - MCKINNEY  </t>
  </si>
  <si>
    <t>388217701</t>
  </si>
  <si>
    <t>1801826839</t>
  </si>
  <si>
    <t xml:space="preserve">BAYLOR SCOTT &amp; WHITE MEDICAL CENTER - CENTENNIAL-                                                  </t>
  </si>
  <si>
    <t>401736001</t>
  </si>
  <si>
    <t>1104383371</t>
  </si>
  <si>
    <t xml:space="preserve">BOSQUE COUNTY HOSPITAL DISTRICT-GOODALL-WITCHER HOSPITAL                          </t>
  </si>
  <si>
    <t>094226002</t>
  </si>
  <si>
    <t>1801817135</t>
  </si>
  <si>
    <t xml:space="preserve">BRAZOS VALLEY PHYSICIANS ORGANIZATION MSO LLC-THE PHYSICIANS CENTRE HOSPITAL                    </t>
  </si>
  <si>
    <t>322879301</t>
  </si>
  <si>
    <t>1407191984</t>
  </si>
  <si>
    <t xml:space="preserve">BSA HOSPITAL LLC-BAPTIST ST ANTHONYS HEALTH SYSTEM                 </t>
  </si>
  <si>
    <t>387663301</t>
  </si>
  <si>
    <t>1538667035</t>
  </si>
  <si>
    <t xml:space="preserve">CARTHAGE HOSPITAL LLC-UT HEALTH EAST TEXAS CARTHAGE HOSPITAL            </t>
  </si>
  <si>
    <t>356438701</t>
  </si>
  <si>
    <t>1912395203</t>
  </si>
  <si>
    <t xml:space="preserve">CHG HOSPITAL AUSTIN LLC-CORNERSTONE SPECIALTY HOSPITALS AUSTIN            </t>
  </si>
  <si>
    <t>138910807</t>
  </si>
  <si>
    <t>1194743013</t>
  </si>
  <si>
    <t xml:space="preserve">CHILDRENS MEDICAL CENTER OF DALLAS-CHILDRENS MEDICAL CENTER                          </t>
  </si>
  <si>
    <t>354178101</t>
  </si>
  <si>
    <t>1720480627</t>
  </si>
  <si>
    <t xml:space="preserve">CHILDRENS MEDICAL CENTER OF DALLAS-CHILDREN'S MEDICAL CENTER PLANO                   </t>
  </si>
  <si>
    <t>020844901</t>
  </si>
  <si>
    <t>1194787218</t>
  </si>
  <si>
    <t xml:space="preserve">CHRISTUS SANTA ROSA HEALTH CARE CORPORATION-CHRISTUS SANTA ROSA HOSPITAL                      </t>
  </si>
  <si>
    <t>112667403</t>
  </si>
  <si>
    <t>1124092036</t>
  </si>
  <si>
    <t xml:space="preserve">CHRISTUS GOOD SHEPHERD MEDICAL CENTER-CHRISTUS GOOD SHEPHERD MEDICAL CENTER MARSHALL    </t>
  </si>
  <si>
    <t>020976902</t>
  </si>
  <si>
    <t>1295736734</t>
  </si>
  <si>
    <t xml:space="preserve">CHRISTUS HEALTH ARK LATEX-                                                  </t>
  </si>
  <si>
    <t>020844903</t>
  </si>
  <si>
    <t>1821004151</t>
  </si>
  <si>
    <t xml:space="preserve">CHRISTUS SANTA ROSA HEALTH CARE CORPORATION-CHRISTUS SANTA ROSA CHILDRENS                     </t>
  </si>
  <si>
    <t>094222903</t>
  </si>
  <si>
    <t>1003885641</t>
  </si>
  <si>
    <t xml:space="preserve">CHRISTUS SPOHN HEALTH SYSTEM CORPORATION-                                                  </t>
  </si>
  <si>
    <t>135033210</t>
  </si>
  <si>
    <t>1740238641</t>
  </si>
  <si>
    <t xml:space="preserve">COLUMBUS COMMUNITY HOSPITAL-                                                  </t>
  </si>
  <si>
    <t>352064501</t>
  </si>
  <si>
    <t>1588005888</t>
  </si>
  <si>
    <t xml:space="preserve">CONTINUECARE HOSPITAL OF MIDLAND INC-                                                  </t>
  </si>
  <si>
    <t>178396101</t>
  </si>
  <si>
    <t>1174524466</t>
  </si>
  <si>
    <t>CONTINUE CARE HOSPITAL OF TYLER INC-TYLER CONTINUE CARE HOSPITAL AT MOTHER FRANCES HOS</t>
  </si>
  <si>
    <t>021184901</t>
  </si>
  <si>
    <t>1891765178</t>
  </si>
  <si>
    <t xml:space="preserve">COOK CHILDREN'S MEDICAL CENTER-                                                  </t>
  </si>
  <si>
    <t>134772611</t>
  </si>
  <si>
    <t>1780823021</t>
  </si>
  <si>
    <t xml:space="preserve">CORYELL COUNTY MEMORIAL HOSPITAL AUTHORITY-                                                  </t>
  </si>
  <si>
    <t>319209801</t>
  </si>
  <si>
    <t>1013941780</t>
  </si>
  <si>
    <t xml:space="preserve">COVENANT LONG TERM CARE LP-COVENANT SPECIALTY HOSPITAL                       </t>
  </si>
  <si>
    <t>303478701</t>
  </si>
  <si>
    <t>1407010622</t>
  </si>
  <si>
    <t xml:space="preserve">CR EMERGENCY ROOM LLC-BAYLOR SCOTT AND WHITE EMERGENCY HOSPITAL         </t>
  </si>
  <si>
    <t>138911619</t>
  </si>
  <si>
    <t>1437148020</t>
  </si>
  <si>
    <t xml:space="preserve">CUERO COMMUNITY HOSPITAL                          </t>
  </si>
  <si>
    <t>361949601</t>
  </si>
  <si>
    <t>1568848059</t>
  </si>
  <si>
    <t xml:space="preserve">CUMBERLAND SURGICAL HOSPITAL OF SAN ANTONIO LLC-                                                  </t>
  </si>
  <si>
    <t>320384603</t>
  </si>
  <si>
    <t>1356559991</t>
  </si>
  <si>
    <t xml:space="preserve">DALLAS LTACH LLC-KINDRED HOSPITAL DALLAS CENTRAL                   </t>
  </si>
  <si>
    <t>189947801</t>
  </si>
  <si>
    <t>1134108053</t>
  </si>
  <si>
    <t xml:space="preserve">DAWSON COUNTY HOSPITAL DISTRICT-MEDICAL ARTS HOSPITAL                             </t>
  </si>
  <si>
    <t>1689628984</t>
  </si>
  <si>
    <t xml:space="preserve">COLUMBIA HOSPITAL MEDICAL CITY DALLAS, SUBSIDIARY-COLUMBIA HOSPITAL AT MEDICAL C                    </t>
  </si>
  <si>
    <t>217884004</t>
  </si>
  <si>
    <t>1326134255</t>
  </si>
  <si>
    <t xml:space="preserve">DIMMIT REGIONAL HOSPITAL-                                                  </t>
  </si>
  <si>
    <t>132812205</t>
  </si>
  <si>
    <t>1548286172</t>
  </si>
  <si>
    <t xml:space="preserve">DRISCOLL CHILDRENS HOSPITAL                       </t>
  </si>
  <si>
    <t>199210901</t>
  </si>
  <si>
    <t>1669655601</t>
  </si>
  <si>
    <t xml:space="preserve">EAST EL PASO PHYSICIANS MEDICAL CENTER LLC-FOUNDATION SURGICAL HOSPITAL OF EL PASO           </t>
  </si>
  <si>
    <t>348928801</t>
  </si>
  <si>
    <t>1679903967</t>
  </si>
  <si>
    <t xml:space="preserve">EBD BEMC BURLESON, LLC-BAYLOR SCOTT AND WHITE EMERGENCY HOSPITAL         </t>
  </si>
  <si>
    <t>311054601</t>
  </si>
  <si>
    <t>1003192311</t>
  </si>
  <si>
    <t xml:space="preserve">EL CAMPO MEMORIAL HOSPITAL-                                                  </t>
  </si>
  <si>
    <t>291854201</t>
  </si>
  <si>
    <t>1558659714</t>
  </si>
  <si>
    <t xml:space="preserve">EL PASO CHILDRENS HOSPITAL-                                                  </t>
  </si>
  <si>
    <t>363070901</t>
  </si>
  <si>
    <t>1992172019</t>
  </si>
  <si>
    <t xml:space="preserve">EMERGENCY HOSPITAL SYSTEMS LLC-CLEVELAND EMERGENCY HOSPITAL                      </t>
  </si>
  <si>
    <t>309798201</t>
  </si>
  <si>
    <t>1669752234</t>
  </si>
  <si>
    <t xml:space="preserve">EMERUS BHS SA THOUSAND OAKS LLC-BAPTIST EMERGENCY HOSPITAL SHAVANO PARK           </t>
  </si>
  <si>
    <t>376537203</t>
  </si>
  <si>
    <t>1235685892</t>
  </si>
  <si>
    <t>330811601</t>
  </si>
  <si>
    <t>1760417646</t>
  </si>
  <si>
    <t xml:space="preserve">FANNIN COUNTY HOSPITAL AUTHORITY-TMC BONHAM HOSPITAL                               </t>
  </si>
  <si>
    <t>365480801</t>
  </si>
  <si>
    <t>1821450255</t>
  </si>
  <si>
    <t xml:space="preserve">FIRST TEXAS HOSPITAL CY-FAIR, LLC-FIRST TEXAS HOSPITAL                              </t>
  </si>
  <si>
    <t>217744601</t>
  </si>
  <si>
    <t>1902047376</t>
  </si>
  <si>
    <t xml:space="preserve">FLOWER MOUND HOSPITAL PARTNERS LLC-TEXAS HEALTH PRESBYTERIAN HOSPITAL FLOWER MOUND   </t>
  </si>
  <si>
    <t>157144001</t>
  </si>
  <si>
    <t>1922002674</t>
  </si>
  <si>
    <t xml:space="preserve">FRISCO MEDICAL CENTER-BAYLOR SCOTT &amp; WHITE MEDICAL CENTER - FRISCO      </t>
  </si>
  <si>
    <t>167364201</t>
  </si>
  <si>
    <t>1871599183</t>
  </si>
  <si>
    <t xml:space="preserve">FT WORTH SURGICARE PARTNERS, LTD-BAYLOR SURGICAL HOSPITAL AT FT WORTH              </t>
  </si>
  <si>
    <t>396650901</t>
  </si>
  <si>
    <t>1972071991</t>
  </si>
  <si>
    <t xml:space="preserve">GAINESVILLE COMMUNITY HOSPITAL, INC.-NORTH TEXAS MEDICAL CENTER                        </t>
  </si>
  <si>
    <t>346945401</t>
  </si>
  <si>
    <t>1881691061</t>
  </si>
  <si>
    <t xml:space="preserve">GRAHAM HOSPITAL DISTRICT-                                                  </t>
  </si>
  <si>
    <t>007068203</t>
  </si>
  <si>
    <t>121792903</t>
  </si>
  <si>
    <t>1326037607</t>
  </si>
  <si>
    <t xml:space="preserve">HAMILTON COUNTY HOSPITAL DISTRICT-HAMILTON GENERAL HOSPITAL                         </t>
  </si>
  <si>
    <t>154504801</t>
  </si>
  <si>
    <t>1881688976</t>
  </si>
  <si>
    <t xml:space="preserve">HARLINGEN MEDICAL CENTER LP-                                                  </t>
  </si>
  <si>
    <t>380473401</t>
  </si>
  <si>
    <t>1003344334</t>
  </si>
  <si>
    <t xml:space="preserve">HCN EP HORIZON CITY LLC-THE HOSPITALS OF PROVIDENCE HORIZON CITY CAMPUS   </t>
  </si>
  <si>
    <t>021185601</t>
  </si>
  <si>
    <t>1013968726</t>
  </si>
  <si>
    <t xml:space="preserve">HEALTHBRIDGE CHILDRENS HOSPITAL- HOUSTON LTD-HEALTHBRIDGE CHILDRENS HOSPITAL                   </t>
  </si>
  <si>
    <t>322916301</t>
  </si>
  <si>
    <t>1558349399</t>
  </si>
  <si>
    <t xml:space="preserve">HEART OF TEXAS HEALTHCARE SYSTEM-                                                  </t>
  </si>
  <si>
    <t>387377001</t>
  </si>
  <si>
    <t>1326546797</t>
  </si>
  <si>
    <t xml:space="preserve">HENDERSON HOSPITAL LLC-UT HEALTH EAST TEXAS HENDERSON HOSPITAL           </t>
  </si>
  <si>
    <t>361699701</t>
  </si>
  <si>
    <t>1235510090</t>
  </si>
  <si>
    <t xml:space="preserve">HERITAGE PARK SURGICAL HOSPITAL, LLC-BAYLOR SCOTT &amp; WHITE SURGICAL HOSPITAL AT SHERMAN </t>
  </si>
  <si>
    <t>342897103</t>
  </si>
  <si>
    <t>1306268321</t>
  </si>
  <si>
    <t xml:space="preserve">HOUSTON METHODIST ST CATHERINE HOSPITAL-HOUSTON METHODIST CONTINUING CARE HOSPITAL        </t>
  </si>
  <si>
    <t>336478801</t>
  </si>
  <si>
    <t>1952723967</t>
  </si>
  <si>
    <t xml:space="preserve">HOUSTON METHODIST ST JOHN HOSPITAL-HOUSTON METHODIST CLEAR LAKE HOSPITAL             </t>
  </si>
  <si>
    <t>378943001</t>
  </si>
  <si>
    <t>1073043592</t>
  </si>
  <si>
    <t xml:space="preserve">HOUSTON PPH LLC-HCA HOUSTON HEALTHCARE MEDICAL CENTER             </t>
  </si>
  <si>
    <t>163936101</t>
  </si>
  <si>
    <t>1669569984</t>
  </si>
  <si>
    <t xml:space="preserve">IRVING COPPELL SURGICAL HOSPITAL LLP-IRVING-COPPELL SURGICAL HOSPITAL LLP              </t>
  </si>
  <si>
    <t>387381201</t>
  </si>
  <si>
    <t>1730697350</t>
  </si>
  <si>
    <t xml:space="preserve">JACKSONVILLE HOSPITAL LLC-UT HEALTH EAST TEXAS JACKSONVILLE HOSPITAL        </t>
  </si>
  <si>
    <t>136412710</t>
  </si>
  <si>
    <t>1699772541</t>
  </si>
  <si>
    <t xml:space="preserve">KARNES COUNTY HOSPITAL DISTRICT-OTTO KAISER MEMORIAL HOSPITAL                     </t>
  </si>
  <si>
    <t>168648701</t>
  </si>
  <si>
    <t>1669480323</t>
  </si>
  <si>
    <t xml:space="preserve">KELL WEST REGIONAL HOSPITAL LLC-KELL WEST REGIONAL HOSPITAL                       </t>
  </si>
  <si>
    <t>021001501</t>
  </si>
  <si>
    <t>1699844654</t>
  </si>
  <si>
    <t xml:space="preserve">KINDRED HOSPITALS LIMITED PARTNERSHIP-KINDRED HOSPITAL- DALLAS                          </t>
  </si>
  <si>
    <t>164466801</t>
  </si>
  <si>
    <t>1598834566</t>
  </si>
  <si>
    <t xml:space="preserve">KINDRED HOSPITALS LIMITED PARTNERSHIP-KINDRED HOSPITAL-FORT WORTH                       </t>
  </si>
  <si>
    <t>021004901</t>
  </si>
  <si>
    <t>1922177997</t>
  </si>
  <si>
    <t xml:space="preserve">KINDRED HOSPITALS LIMITED PARTNERSHIP-KINDRED HOSPITAL - MANSFIELD                      </t>
  </si>
  <si>
    <t>021002301</t>
  </si>
  <si>
    <t>1558430520</t>
  </si>
  <si>
    <t xml:space="preserve">KINDRED HOSPITALS LIMITED PARTNERSHIP-KINDRED HOSPITALS SAN ANTONIO                     </t>
  </si>
  <si>
    <t>149633301</t>
  </si>
  <si>
    <t>1821167818</t>
  </si>
  <si>
    <t xml:space="preserve">KINDRED HOSPITALS LIMITED PARTNERSHIP-KINDRED HOSPITAL-WHITE ROCK                       </t>
  </si>
  <si>
    <t>021008001</t>
  </si>
  <si>
    <t>1942379912</t>
  </si>
  <si>
    <t xml:space="preserve">KINDRED HOSPITALS LIMITED PARTNERSHIP-KINDRED HOSPTIAL HOUSTON MEDICAL CENTER           </t>
  </si>
  <si>
    <t>402430901</t>
  </si>
  <si>
    <t>1679137111</t>
  </si>
  <si>
    <t xml:space="preserve">KPC PROMISE HOSPITAL OF DALLAS, LLC-KPC PROMISE HOSPITAL OF DALLAS                    </t>
  </si>
  <si>
    <t>Other</t>
  </si>
  <si>
    <t>Dallas</t>
  </si>
  <si>
    <t>402388901</t>
  </si>
  <si>
    <t>1700440245</t>
  </si>
  <si>
    <t xml:space="preserve">KPC PROMISE HOSPITAL OF WICHITA FALLS, LLC-KPC PROMISE HOSPITAL OF WICHITA FALLS             </t>
  </si>
  <si>
    <t>MRSA West</t>
  </si>
  <si>
    <t>331242301</t>
  </si>
  <si>
    <t>1851632616</t>
  </si>
  <si>
    <t xml:space="preserve">LANCASTER REGIONAL HOSPITAL LP-CRESCENT MEDICAL CENTER LANCASTER                 </t>
  </si>
  <si>
    <t>185051301</t>
  </si>
  <si>
    <t>1316992878</t>
  </si>
  <si>
    <t xml:space="preserve">LAREDO SPECIALTY HOSPITAL                         </t>
  </si>
  <si>
    <t>388218501</t>
  </si>
  <si>
    <t>1922522606</t>
  </si>
  <si>
    <t xml:space="preserve">LHCG CXXI, LLC-CHRISTUS DUBUIS HOSPITAL OF BEAUMONT              </t>
  </si>
  <si>
    <t>163219201</t>
  </si>
  <si>
    <t>1922001775</t>
  </si>
  <si>
    <t xml:space="preserve">LUBBOCK HEART HOSPITAL LLC-LUBBOCK HEART HOSPITAL                            </t>
  </si>
  <si>
    <t>146509801</t>
  </si>
  <si>
    <t>1932152337</t>
  </si>
  <si>
    <t xml:space="preserve">MEMORIAL HERMANN HOSPITAL SYSTEM-MHHS KATY HOSPITAL                                </t>
  </si>
  <si>
    <t>192751901</t>
  </si>
  <si>
    <t>1295843787</t>
  </si>
  <si>
    <t xml:space="preserve">MEMORIAL HERMANN HOSPITAL SYSTEM-MHHS NORTHEAST HOSPITAL                           </t>
  </si>
  <si>
    <t>146021401</t>
  </si>
  <si>
    <t>1295788735</t>
  </si>
  <si>
    <t xml:space="preserve">MEMORIAL HERMANN HOSPITAL SYSTEM-MHHS SUGAR LAND HOSPITAL                          </t>
  </si>
  <si>
    <t>202351701</t>
  </si>
  <si>
    <t>1366532228</t>
  </si>
  <si>
    <t xml:space="preserve">MEMORIAL HERMANN SPECIALTY HOSPITAL KINGWOOD LLC  </t>
  </si>
  <si>
    <t>353570001</t>
  </si>
  <si>
    <t>1285028951</t>
  </si>
  <si>
    <t xml:space="preserve">MESA HILLS SPECIALTY HOSPITAL OPERATOR, LLC-MESA HILLS SPECIALTY HOSPITAL                     </t>
  </si>
  <si>
    <t>218319601</t>
  </si>
  <si>
    <t>1831146331</t>
  </si>
  <si>
    <t xml:space="preserve">MESQUITE SPECIALTY HOSPITAL LP                    </t>
  </si>
  <si>
    <t>376837601</t>
  </si>
  <si>
    <t>1184179194</t>
  </si>
  <si>
    <t xml:space="preserve">METHODIST HEALTH CENTERS-HOUSTON METHODIST THE WOODLANDS HOSPITAL          </t>
  </si>
  <si>
    <t>281028501</t>
  </si>
  <si>
    <t>1083937593</t>
  </si>
  <si>
    <t xml:space="preserve">METHODIST HEALTH CENTERS-HOUSTON METHODIST WEST HOSPITAL                   </t>
  </si>
  <si>
    <t>186221101</t>
  </si>
  <si>
    <t>1689629941</t>
  </si>
  <si>
    <t xml:space="preserve">METHODIST HOSPITAL OF DALLAS-METHODIST MANSFIELD MEDICAL CENTER                </t>
  </si>
  <si>
    <t>209345201</t>
  </si>
  <si>
    <t>1033165501</t>
  </si>
  <si>
    <t xml:space="preserve">METHODIST HOSPITALS OF DALLAS-METHODIST RICHARDSON MEDICAL CENTER               </t>
  </si>
  <si>
    <t>328934001</t>
  </si>
  <si>
    <t>1952538431</t>
  </si>
  <si>
    <t xml:space="preserve">METHODIST MCKINNEY HOSPITAL LLC-                                                  </t>
  </si>
  <si>
    <t>094219503</t>
  </si>
  <si>
    <t>1497871628</t>
  </si>
  <si>
    <t xml:space="preserve">METHODIST SUGAR LAND HOSPITAL-HOUSTON METHODIST SUGAR LAND HOSPITAL             </t>
  </si>
  <si>
    <t>140713201</t>
  </si>
  <si>
    <t>1871619254</t>
  </si>
  <si>
    <t xml:space="preserve">METHODIST WILLOWBROOK-HOUSTON METHODIST WILLOWBROOK HOSPITAL            </t>
  </si>
  <si>
    <t>149073203</t>
  </si>
  <si>
    <t>1750392916</t>
  </si>
  <si>
    <t xml:space="preserve">METROPLEX ADVENTIST HOSPITAL INC-ROLLINS BROOK COMMUNITY HOSPITAL                  </t>
  </si>
  <si>
    <t>384108201</t>
  </si>
  <si>
    <t>1831629674</t>
  </si>
  <si>
    <t xml:space="preserve">MH EMERUS FIRST COLONY, LLC-MEMORIAL HERMANN FIRST COLONY HOSPITAL            </t>
  </si>
  <si>
    <t>357475801</t>
  </si>
  <si>
    <t>1346630316</t>
  </si>
  <si>
    <t xml:space="preserve">MID JEFFERSON EXTENDED CARE HOSPITAL-                                                  </t>
  </si>
  <si>
    <t>141858401</t>
  </si>
  <si>
    <t>1952306672</t>
  </si>
  <si>
    <t xml:space="preserve">MOTHER FRANCES HOSPITAL JACKSONVILLE              </t>
  </si>
  <si>
    <t>094159302</t>
  </si>
  <si>
    <t>1386647717</t>
  </si>
  <si>
    <t xml:space="preserve">MSH PARTNERS LLC-BAYLOR MEDICAL CENTER AT UPTOWN                   </t>
  </si>
  <si>
    <t>147227603</t>
  </si>
  <si>
    <t>1760482939</t>
  </si>
  <si>
    <t xml:space="preserve">NEURO INSTITUTE OF AUSTIN LP-TEXAS NEUROREHAB CENTER                           </t>
  </si>
  <si>
    <t>094235102</t>
  </si>
  <si>
    <t>1023069697</t>
  </si>
  <si>
    <t xml:space="preserve">NEXUS SPECIALTY HOSPITAL - THE WOODLANDS LTD-NEXUS SPECIALTY HOSPITAL                          </t>
  </si>
  <si>
    <t>Harris</t>
  </si>
  <si>
    <t>021011401</t>
  </si>
  <si>
    <t>1659440634</t>
  </si>
  <si>
    <t xml:space="preserve">TRANSITIONAL HOSPITALS CORPORATION OF TEXAS LLC-KINDRED HOSPITAL- TARRANT COUNTY                  </t>
  </si>
  <si>
    <t>158914501</t>
  </si>
  <si>
    <t>1295890093</t>
  </si>
  <si>
    <t xml:space="preserve">ORTHOPEDIC AND SPINE SURGICAL HOSPITAL OF S TX LP-SOUTH TEXAS SPINE AND SURGICAL HOSPITAL LP        </t>
  </si>
  <si>
    <t>393491101</t>
  </si>
  <si>
    <t>1083104004</t>
  </si>
  <si>
    <t xml:space="preserve">PAM SPECIALTY HOSPITAL OF LUFKIN, LLC-                                                  </t>
  </si>
  <si>
    <t>MRSA Northeast</t>
  </si>
  <si>
    <t>346300201</t>
  </si>
  <si>
    <t>1467853051</t>
  </si>
  <si>
    <t xml:space="preserve">PAM SQUARED AT CORPUS CHRISTI LLC-PAM SPECIALTY HOSPITAL AT CORPUS CHRISTI NORTH    </t>
  </si>
  <si>
    <t>130616909</t>
  </si>
  <si>
    <t>1760598692</t>
  </si>
  <si>
    <t xml:space="preserve">PECOS COUNTY MEMORIAL HOSPITAL-                                                  </t>
  </si>
  <si>
    <t>165305701</t>
  </si>
  <si>
    <t>1912948845</t>
  </si>
  <si>
    <t xml:space="preserve">PHYSICIANS SURGICAL HOSPITALS LLC-QUAIL CREEK SURGICAL HOSPITAL                     </t>
  </si>
  <si>
    <t>388696201</t>
  </si>
  <si>
    <t>1184132524</t>
  </si>
  <si>
    <t xml:space="preserve">PITTSBURG HOSPITAL LLC-UT HEALTH EAST TEXAS PITTSBURG HOSPITAL           </t>
  </si>
  <si>
    <t>199191101</t>
  </si>
  <si>
    <t>1114962842</t>
  </si>
  <si>
    <t xml:space="preserve">POST ACUTE MEDICAL AT LULING LLC-WARM SPRINGS SPECIALTY HOSPITAL OF LULING LLC     </t>
  </si>
  <si>
    <t>199478201</t>
  </si>
  <si>
    <t>1376588228</t>
  </si>
  <si>
    <t>POST ACUTE MEDICAL AT SAN ANTONIO LLC-WARM SPRINGS REHABILITATION HOSPITAL OF SAN ANTONI</t>
  </si>
  <si>
    <t>199183801</t>
  </si>
  <si>
    <t>1659316115</t>
  </si>
  <si>
    <t xml:space="preserve">POST ACUTE MEDICAL AT VICTORIA LLC-PAM SPECIALTY HOSPITAL OF VICTORIA NORTH          </t>
  </si>
  <si>
    <t>317151401</t>
  </si>
  <si>
    <t>1689795098</t>
  </si>
  <si>
    <t xml:space="preserve">POST ACUTE MEDICAL OF NEW BRAUNFELS LLC-WARM SPRINGS SPECIALTY HOSPITAL OF NEW BRAUNFELS  </t>
  </si>
  <si>
    <t>331384301</t>
  </si>
  <si>
    <t>1417389784</t>
  </si>
  <si>
    <t xml:space="preserve">POST ACUTE SPECIALTY HOSPITAL OF VICTORIA LLC-PAM SPECIALTY HOSPITAL OF VICTORIA SOUTH          </t>
  </si>
  <si>
    <t>316360201</t>
  </si>
  <si>
    <t>1407121189</t>
  </si>
  <si>
    <t xml:space="preserve">PREFERRED HOSPITAL LEASING COLEMAN INC-COLEMAN COUNTY MEDICAL CENTER COMPANY             </t>
  </si>
  <si>
    <t>179272301</t>
  </si>
  <si>
    <t>1295764553</t>
  </si>
  <si>
    <t xml:space="preserve">PREFERRED HOSPITAL LEASING ELDORADO INC-SCHLEICHER COUNTY MEDICAL CENTER                  </t>
  </si>
  <si>
    <t>200683501</t>
  </si>
  <si>
    <t>1932379856</t>
  </si>
  <si>
    <t xml:space="preserve">PREFERRED HOSPITAL LEASING HEMPHILL INC-SABINE COUNTY HOSPITAL                            </t>
  </si>
  <si>
    <t>206083201</t>
  </si>
  <si>
    <t>1164688495</t>
  </si>
  <si>
    <t xml:space="preserve">PREFERRED HOSPITAL LEASING JUNCTION INC-KIMBLE HOSPITAL                                   </t>
  </si>
  <si>
    <t>350190001</t>
  </si>
  <si>
    <t>1619368339</t>
  </si>
  <si>
    <t xml:space="preserve">PREFERRED HOSPITAL LEASING MULESHOE INC-MULESHOE AREA MEDICAL CENTER                      </t>
  </si>
  <si>
    <t>121822403</t>
  </si>
  <si>
    <t>1700805678</t>
  </si>
  <si>
    <t xml:space="preserve">PRHC ENNIS LP-ENNIS REGIONAL MEDICAL CENTER                     </t>
  </si>
  <si>
    <t>388701003</t>
  </si>
  <si>
    <t>1477061885</t>
  </si>
  <si>
    <t xml:space="preserve">QUITMAN HOSPITAL LLC-UT HEALTH EAST TEXAS                              </t>
  </si>
  <si>
    <t>112684904</t>
  </si>
  <si>
    <t>1831170273</t>
  </si>
  <si>
    <t xml:space="preserve">REEVES COUNTY HOSPITAL DISTRICT                   </t>
  </si>
  <si>
    <t>343723801</t>
  </si>
  <si>
    <t>1427472463</t>
  </si>
  <si>
    <t xml:space="preserve">RESOLUTE HOSPITAL COMPANY LLC-                                                  </t>
  </si>
  <si>
    <t>193399601</t>
  </si>
  <si>
    <t>1629138029</t>
  </si>
  <si>
    <t xml:space="preserve">ROCKWALL REGIONAL HOSPITAL LLC-TEXAS HEALTH PRESBYTERIAN HOSPITAL ROCKWALL       </t>
  </si>
  <si>
    <t>150967102</t>
  </si>
  <si>
    <t>1013993559</t>
  </si>
  <si>
    <t xml:space="preserve">SCCI HOSPITAL EL PASO  LLC-KINDRED HOSPITAL EL PASO                          </t>
  </si>
  <si>
    <t>220798701</t>
  </si>
  <si>
    <t>1326349986</t>
  </si>
  <si>
    <t xml:space="preserve">SCOTT AND WHITE HOSPITAL - LLANO-BAYLOR SCOTT AND WHITE MEDICAL CENTER - LLANO     </t>
  </si>
  <si>
    <t>353712801</t>
  </si>
  <si>
    <t>1396138970</t>
  </si>
  <si>
    <t xml:space="preserve">SCOTT &amp; WHITE HOSPITAL-MARBLE FALLS-BAYLOR SCOTT &amp; WHITE MEDICAL CENTER-MARBLE FALLS  </t>
  </si>
  <si>
    <t>358597801</t>
  </si>
  <si>
    <t>1184029811</t>
  </si>
  <si>
    <t xml:space="preserve">SELECT SPECIALITY HOSPITAL-DALLAS, INC-                                                  </t>
  </si>
  <si>
    <t>194036301</t>
  </si>
  <si>
    <t>1063411239</t>
  </si>
  <si>
    <t xml:space="preserve">SELECT SPECIALTY HOSPITAL DALLAS INC-DALLAS SPECIALTY HOSPITAL DALLAS INC              </t>
  </si>
  <si>
    <t>197824901</t>
  </si>
  <si>
    <t>1861492670</t>
  </si>
  <si>
    <t xml:space="preserve">SELECT SPECIALTY HOSPITAL LONGVIEW INC-SELECT SPECIALTY HOSPITAL LONGVIEW                </t>
  </si>
  <si>
    <t>158980601</t>
  </si>
  <si>
    <t>1124137054</t>
  </si>
  <si>
    <t xml:space="preserve">SETON FAMILY OF HOSPITALS-ASCENSION SETON NORTHWEST                         </t>
  </si>
  <si>
    <t>158977201</t>
  </si>
  <si>
    <t>1750499273</t>
  </si>
  <si>
    <t xml:space="preserve">SETON FAMILY OF HOSPITALS-SETON SOUTHWEST HOSPITAL                          </t>
  </si>
  <si>
    <t>186599001</t>
  </si>
  <si>
    <t>1447355771</t>
  </si>
  <si>
    <t xml:space="preserve">SETON HEALTHCARE-DELL CHILDRENS MEDICAL CENTER                     </t>
  </si>
  <si>
    <t>298213401</t>
  </si>
  <si>
    <t>1518000306</t>
  </si>
  <si>
    <t xml:space="preserve">SHRINERS HOSPITAL FOR CHILDREN-                                                  </t>
  </si>
  <si>
    <t>293388901</t>
  </si>
  <si>
    <t>1669513941</t>
  </si>
  <si>
    <t xml:space="preserve">SHRINERS HOSPITALS FOR CHILDREN-                                                  </t>
  </si>
  <si>
    <t>190895601</t>
  </si>
  <si>
    <t>1598710592</t>
  </si>
  <si>
    <t xml:space="preserve">SOLARA HOSPITAL HARLINGEN-SOLARA SPECIALTY HOSPITALS HARLINGEN BROWNSVILLE  </t>
  </si>
  <si>
    <t>171461001</t>
  </si>
  <si>
    <t>1629064928</t>
  </si>
  <si>
    <t xml:space="preserve">SOUTHLAKE SPECIALTY HOSPITAL LLC-TEXAS HEALTH HARRIS METHODIST HOSPITAL SOUTHLAKE  </t>
  </si>
  <si>
    <t>388758001</t>
  </si>
  <si>
    <t>1962900472</t>
  </si>
  <si>
    <t xml:space="preserve">SPECIALTY HOSPITAL LLC-UT HEALTH EAST TEXAS SPECIALTY HOSPITAL           </t>
  </si>
  <si>
    <t>298019501</t>
  </si>
  <si>
    <t>1659559573</t>
  </si>
  <si>
    <t xml:space="preserve">ST. LUKE'S COMMUNITY DEVELOPMENT CORPORATION-SUGAR-ST. LUKE'S SUGAR LAND HOSPITAL                    </t>
  </si>
  <si>
    <t>021017101</t>
  </si>
  <si>
    <t>1043389034</t>
  </si>
  <si>
    <t xml:space="preserve">THC HOUSTON LLC-KINDRED HOSPITAL HOUSTON NORTHWEST                </t>
  </si>
  <si>
    <t>210274101</t>
  </si>
  <si>
    <t>1184868879</t>
  </si>
  <si>
    <t xml:space="preserve">ST LUKES LAKESIDE HOSPITAL LLC-ST LUKES LAKESIDE HOSPITAL                        </t>
  </si>
  <si>
    <t>281219001</t>
  </si>
  <si>
    <t>1407990088</t>
  </si>
  <si>
    <t xml:space="preserve">ST LUKES PATIENTS MEDICAL CENTER-                                                  </t>
  </si>
  <si>
    <t>176692501</t>
  </si>
  <si>
    <t>1659362630</t>
  </si>
  <si>
    <t xml:space="preserve">ST MARKS MEDICAL CENTER                           </t>
  </si>
  <si>
    <t>139135109</t>
  </si>
  <si>
    <t>1477643690</t>
  </si>
  <si>
    <t xml:space="preserve">TEXAS CHILDRENS HOSPITAL                          </t>
  </si>
  <si>
    <t>020982701</t>
  </si>
  <si>
    <t>1548291883</t>
  </si>
  <si>
    <t xml:space="preserve">TEXAS HEALTH PRESBYTERIAN HOSPITAL ALLEN-                                                  </t>
  </si>
  <si>
    <t>185556101</t>
  </si>
  <si>
    <t>1962504340</t>
  </si>
  <si>
    <t xml:space="preserve">TEXAS HEART HOSPITAL OF THE SOUTHWEST LLP-BAYLOR SCOTT &amp; WHITE THE HEART HOSPITAL PLANO     </t>
  </si>
  <si>
    <t>209719801</t>
  </si>
  <si>
    <t>1255579389</t>
  </si>
  <si>
    <t xml:space="preserve">TEXAS REGIONAL MEDICAL CENTER LTD-TEXAS REGIONAL MEDICAL CENTER AT SUNNYVALE        </t>
  </si>
  <si>
    <t>315440301</t>
  </si>
  <si>
    <t>1760628184</t>
  </si>
  <si>
    <t xml:space="preserve">TEXAS SCOTTISH RITE HOSPITAL FOR CRIPPLED CHILDREN-                                                  </t>
  </si>
  <si>
    <t>162459501</t>
  </si>
  <si>
    <t>1942292255</t>
  </si>
  <si>
    <t xml:space="preserve">TEXAS SPINE AND JOINT HOSPITAL LTD                </t>
  </si>
  <si>
    <t>330388501</t>
  </si>
  <si>
    <t>1194753590</t>
  </si>
  <si>
    <t xml:space="preserve">THHBP MANAGEMENT COMPANY LLC-BAYLOR SCOTT AND WHITE THE HEART HOSPITAL DENTON  </t>
  </si>
  <si>
    <t xml:space="preserve">MCALLEN HOSPITALS LP-EDINBURG HOSPITAL REHAB                           </t>
  </si>
  <si>
    <t>149047601</t>
  </si>
  <si>
    <t>1609876309</t>
  </si>
  <si>
    <t xml:space="preserve">TRIUMPH HOSPITAL OF EAST HOUSTON LP-KINDRED HOSPITAL CLEAR LAKE                       </t>
  </si>
  <si>
    <t>094354003</t>
  </si>
  <si>
    <t>1285626028</t>
  </si>
  <si>
    <t xml:space="preserve">TRIUMPH HOSPITAL OF NORTH HOUSTON LP-KINDRED HOSPITAL TOMBALL                          </t>
  </si>
  <si>
    <t>157203401</t>
  </si>
  <si>
    <t>1720088412</t>
  </si>
  <si>
    <t xml:space="preserve">TRIUMPH SOUTHWEST LP-KINDRED HOSPITAL SUGAR LAND                       </t>
  </si>
  <si>
    <t>172620001</t>
  </si>
  <si>
    <t>1982609558</t>
  </si>
  <si>
    <t xml:space="preserve">TROPHY CLUB MEDICAL CENTER LP                     </t>
  </si>
  <si>
    <t>388347201</t>
  </si>
  <si>
    <t>1407364847</t>
  </si>
  <si>
    <t xml:space="preserve">TYLER REGIONAL HOSPITAL LLC-UT HEALTH EAST TEXAS TYLER REGIONAL HOSPITAL      </t>
  </si>
  <si>
    <t>135237906</t>
  </si>
  <si>
    <t>1023013448</t>
  </si>
  <si>
    <t xml:space="preserve">UNITED REGIONAL HEALTHCARE                        </t>
  </si>
  <si>
    <t>175287501</t>
  </si>
  <si>
    <t>1285798918</t>
  </si>
  <si>
    <t>UNIVERSITY OF TEXAS SOUTHWESTERN MEDICAL CENTER AT-UNIVERSITY OF TEXAS SOUTHWESTERN UNIVERSITY HOSPTI</t>
  </si>
  <si>
    <t>162965101</t>
  </si>
  <si>
    <t>1659352987</t>
  </si>
  <si>
    <t xml:space="preserve">USMD HOSPITAL AT ARLINGTON LP                     </t>
  </si>
  <si>
    <t>121782009</t>
  </si>
  <si>
    <t>1740288505</t>
  </si>
  <si>
    <t xml:space="preserve">UVALDE COUNTY HOSPITAL AUTHORITY-UVALDE MEMORIAL HOSPITAL                          </t>
  </si>
  <si>
    <t>334801301</t>
  </si>
  <si>
    <t>1063844306</t>
  </si>
  <si>
    <t xml:space="preserve">VIBRA HOSPITAL OF AMARILLO LLC-VIBRA HOSPITAL OF AMARILLO                        </t>
  </si>
  <si>
    <t xml:space="preserve">VICTORIA OF TEXAS LP-DETAR HOSPITAL NAVARRO NORTH PSYCH UNIT           </t>
  </si>
  <si>
    <t>094207002</t>
  </si>
  <si>
    <t>1770514077</t>
  </si>
  <si>
    <t xml:space="preserve">TEXAS HEALTH PRESBYTERIAN HOSPTAL PLANO-                                                  </t>
  </si>
  <si>
    <t>020981901</t>
  </si>
  <si>
    <t>1891718789</t>
  </si>
  <si>
    <t xml:space="preserve">VISTA COMMUNITY MEDICAL CENTER HOSPITAL LLP-SURGERY SPECIALTY HOSPITAL OF AMERICA SE HOUSTON  </t>
  </si>
  <si>
    <t>326690001</t>
  </si>
  <si>
    <t>1629037163</t>
  </si>
  <si>
    <t xml:space="preserve">WARM SPRINGS SPECIALTY HOSPITAL OF SAN ANTONIO LLC-PAM SPECIALTY HOSPITAL OF SAN ANTONIO             </t>
  </si>
  <si>
    <t>Bexar</t>
  </si>
  <si>
    <t>094381301</t>
  </si>
  <si>
    <t>1033107826</t>
  </si>
  <si>
    <t xml:space="preserve">INTRACARE HOSPITAL NORTH-INTRACARE NORTH HOSPITAL                          </t>
  </si>
  <si>
    <t>402628801</t>
  </si>
  <si>
    <t>1730183658</t>
  </si>
  <si>
    <t xml:space="preserve">WINKLER COUNTY HOSPITAL DISTRICT-WINKLER COUNTY MEMORIAL HOSPITAL                  </t>
  </si>
  <si>
    <t>112705203</t>
  </si>
  <si>
    <t>1851344162</t>
  </si>
  <si>
    <t xml:space="preserve">ABILENE REGIONAL MEDICAL CENTER                   </t>
  </si>
  <si>
    <t>127298107</t>
  </si>
  <si>
    <t>1174563779</t>
  </si>
  <si>
    <t xml:space="preserve">ANDREWS COUNTY HOSPITAL DISTRICT                  </t>
  </si>
  <si>
    <t>130089906</t>
  </si>
  <si>
    <t>1225038938</t>
  </si>
  <si>
    <t xml:space="preserve">BALLINGER MEMORIAL HOSPITAL                       </t>
  </si>
  <si>
    <t>094148602</t>
  </si>
  <si>
    <t>1093744187</t>
  </si>
  <si>
    <t xml:space="preserve">BAPTIST HOSPITALS OF SOUTHEAST TEXAS-MEMORIAL HERMANN BAPTIST BEAUMONT HOSPITAL        </t>
  </si>
  <si>
    <t>020973601</t>
  </si>
  <si>
    <t>1508810573</t>
  </si>
  <si>
    <t xml:space="preserve">BAY AREA HEALTHCARE GROUP, LTD-CORPUS CHRISTI MEDICAL CENTER                     </t>
  </si>
  <si>
    <t>135036506</t>
  </si>
  <si>
    <t>1669472387</t>
  </si>
  <si>
    <t>BAYLOR ALL SAINTS MEDICAL CENTER-BAYLOR SCOTT &amp; WHITE ALL SAINTS MEDICAL CENTER FOR</t>
  </si>
  <si>
    <t>138353107</t>
  </si>
  <si>
    <t>1194893263</t>
  </si>
  <si>
    <t xml:space="preserve">BAYLOR COUNTY HOSPITAL DISTRICT-SEYMOUR HOSPITAL                                  </t>
  </si>
  <si>
    <t>110803703</t>
  </si>
  <si>
    <t>1770579591</t>
  </si>
  <si>
    <t xml:space="preserve">FORT DUNCAN REGIONAL MEDICAL CENTER LP-FORT DUNCAN REGIONAL MEDICAL CENTER               </t>
  </si>
  <si>
    <t>135223905</t>
  </si>
  <si>
    <t>1265430177</t>
  </si>
  <si>
    <t xml:space="preserve">BAYLOR MEDICAL CENTER AT WAXAHACHIE               </t>
  </si>
  <si>
    <t>171848805</t>
  </si>
  <si>
    <t>1649273434</t>
  </si>
  <si>
    <t xml:space="preserve">BAYLOR REGIONAL MEDICAL CENTER AT PLANO-                                                  </t>
  </si>
  <si>
    <t>139485012</t>
  </si>
  <si>
    <t>1447250253</t>
  </si>
  <si>
    <t xml:space="preserve">BAYLOR UNIVERSITY MEDICAL CENTER                  </t>
  </si>
  <si>
    <t>020993401</t>
  </si>
  <si>
    <t>1174522494</t>
  </si>
  <si>
    <t xml:space="preserve">BAYSIDE COMMUNITY HOSPITAL-                                                  </t>
  </si>
  <si>
    <t>083290905</t>
  </si>
  <si>
    <t>1477857332</t>
  </si>
  <si>
    <t xml:space="preserve">BELLVILLE ST JOSEPH HEALTH CENTER-                                                  </t>
  </si>
  <si>
    <t>094224503</t>
  </si>
  <si>
    <t>1356312243</t>
  </si>
  <si>
    <t xml:space="preserve">BIG BEND REGIONAL MEDICAL CENTER                  </t>
  </si>
  <si>
    <t>207311601</t>
  </si>
  <si>
    <t>1114903523</t>
  </si>
  <si>
    <t xml:space="preserve">BRIM HEALTHCARE OF TEXAS LLC-WADLEY REGIONAL MEDICAL CENTER                    </t>
  </si>
  <si>
    <t>020930601</t>
  </si>
  <si>
    <t>1679526982</t>
  </si>
  <si>
    <t xml:space="preserve">BROWNWOOD REGIONAL MEDICAL CENTER                 </t>
  </si>
  <si>
    <t>112725003</t>
  </si>
  <si>
    <t>1750377289</t>
  </si>
  <si>
    <t xml:space="preserve">BURLESON ST JOSEPH HEALTH CENTER-BURLESON ST. JOSEPH HEALTH CENTER                 </t>
  </si>
  <si>
    <t>212060201</t>
  </si>
  <si>
    <t>1205164928</t>
  </si>
  <si>
    <t xml:space="preserve">CAHRMC LLC-RICE MEDICAL CENTER                               </t>
  </si>
  <si>
    <t>136142011</t>
  </si>
  <si>
    <t>1033118716</t>
  </si>
  <si>
    <t xml:space="preserve">CASTRO COUNTY HOSPITAL DISTRICT-PLAINS MEMORIAL HOSPITAL                          </t>
  </si>
  <si>
    <t>211970301</t>
  </si>
  <si>
    <t>1013142553</t>
  </si>
  <si>
    <t xml:space="preserve">CBSH,LLC-                                                  </t>
  </si>
  <si>
    <t>192622201</t>
  </si>
  <si>
    <t>1376662296</t>
  </si>
  <si>
    <t xml:space="preserve">CEDAR PARK REGIONAL MEDICAL CENTER                </t>
  </si>
  <si>
    <t>020817501</t>
  </si>
  <si>
    <t>1174576698</t>
  </si>
  <si>
    <t xml:space="preserve">CHCA BAYSHORE LP-HCA HOUSTON HEALTHCARE SOUTHEAST                  </t>
  </si>
  <si>
    <t>121807504</t>
  </si>
  <si>
    <t>1063466035</t>
  </si>
  <si>
    <t xml:space="preserve">CHCA CLEAR LAKE  LP-HCA HOUSTON HEALTHCARE CLEAR LAKE                 </t>
  </si>
  <si>
    <t>020841501</t>
  </si>
  <si>
    <t>1962455816</t>
  </si>
  <si>
    <t xml:space="preserve">CHCA CONROE LP-HCA HOUSTON HEALTHCARE CONROE                     </t>
  </si>
  <si>
    <t>349366001</t>
  </si>
  <si>
    <t>1609275585</t>
  </si>
  <si>
    <t xml:space="preserve">CHCA PEARLAND, LP-HCA HOUSTON HEALTHCARE PEARLAND                   </t>
  </si>
  <si>
    <t>094187402</t>
  </si>
  <si>
    <t>1275580938</t>
  </si>
  <si>
    <t xml:space="preserve">CHCA WEST HOUSTON LP-HCA HOUSTON HEALTHCARE WEST                       </t>
  </si>
  <si>
    <t>112712802</t>
  </si>
  <si>
    <t>1023065794</t>
  </si>
  <si>
    <t xml:space="preserve">CHCA WOMANS HOSPITAL LP-THE WOMANS HOSPITAL OF TEXAS                      </t>
  </si>
  <si>
    <t>357216601</t>
  </si>
  <si>
    <t>1073901476</t>
  </si>
  <si>
    <t xml:space="preserve">CHG HOSPITAL CONROE LLC-CORNERSTONE SPECIALTY HOSPITALS CONROE            </t>
  </si>
  <si>
    <t>358588701</t>
  </si>
  <si>
    <t>1457730426</t>
  </si>
  <si>
    <t xml:space="preserve">CHG HOSPITAL HOUSTON LLC-CORNERSTONE SPECIALTY HOSPITALS BELLAIRE          </t>
  </si>
  <si>
    <t>355796901</t>
  </si>
  <si>
    <t>1760870166</t>
  </si>
  <si>
    <t xml:space="preserve">CHG HOSPITAL MCALLEN LLC-SOLARA SPECIALTY HOSPITALS MCALLEN                </t>
  </si>
  <si>
    <t>357053301</t>
  </si>
  <si>
    <t>1659761815</t>
  </si>
  <si>
    <t xml:space="preserve">CHG HOSPITAL MEDICAL CENTER LLC-CORNERSTONE SPECIATLY HOSPITALS MEDICAL CENTER    </t>
  </si>
  <si>
    <t>133250406</t>
  </si>
  <si>
    <t>1326079534</t>
  </si>
  <si>
    <t xml:space="preserve">CHILDRESS COUNTY HOSPITAL DISTRICT-CHILDRESS REGIONAL MEDICAL CENTER                 </t>
  </si>
  <si>
    <t>112679902</t>
  </si>
  <si>
    <t>1205833985</t>
  </si>
  <si>
    <t xml:space="preserve">MISSION HOSPITAL INC-MISSION REGIONAL MEDICAL CENTER                   </t>
  </si>
  <si>
    <t>138296208</t>
  </si>
  <si>
    <t>1679557888</t>
  </si>
  <si>
    <t xml:space="preserve">CHRISTUS HEALTH SOUTHEAST TEXAS-CHRISTUS HOSPITAL                                 </t>
  </si>
  <si>
    <t>366812101</t>
  </si>
  <si>
    <t>1033568621</t>
  </si>
  <si>
    <t>CHRISTUS HOPKINS HEALTH ALLIANCE-CHRISTUS MOTHER FRANCES HOSPITAL - SULPHUR SPRINGS</t>
  </si>
  <si>
    <t>112706003</t>
  </si>
  <si>
    <t>1598749707</t>
  </si>
  <si>
    <t xml:space="preserve">CHRISTUS JASPER MEMORIAL HOSPITAL-                                                  </t>
  </si>
  <si>
    <t>020811801</t>
  </si>
  <si>
    <t>1447228747</t>
  </si>
  <si>
    <t xml:space="preserve">CHRISTUS SPOHN HEALTH SYSTEM CORPORATION-CHRISTUS SPOHN HOSPITAL BEEVILLE                  </t>
  </si>
  <si>
    <t>112698903</t>
  </si>
  <si>
    <t>1437102639</t>
  </si>
  <si>
    <t xml:space="preserve">COLUMBIA MEDICAL CENTER OF MCKINNEY SUBSIDIARY LP-MEDICAL CENTER OF MCKINNEY                        </t>
  </si>
  <si>
    <t>136436606</t>
  </si>
  <si>
    <t>1093783391</t>
  </si>
  <si>
    <t xml:space="preserve">CHRISTUS SPOHN HEALTH SYSTEM CORPORATION-CHRISTUS SPOHN HOSPITAL KLEBERG                   </t>
  </si>
  <si>
    <t>137907508</t>
  </si>
  <si>
    <t>1124052162</t>
  </si>
  <si>
    <t xml:space="preserve">CITIZENS MEDICAL CENTER COUNTY OF VICTORIA-CITIZENS MEDICAL CENTER                           </t>
  </si>
  <si>
    <t>094138703</t>
  </si>
  <si>
    <t>1437156361</t>
  </si>
  <si>
    <t xml:space="preserve">CLAY COUNTY MEMORIAL HOSPITAL                     </t>
  </si>
  <si>
    <t>094152803</t>
  </si>
  <si>
    <t>1942314448</t>
  </si>
  <si>
    <t xml:space="preserve">COCHRAN MEMORIAL HOSPITAL                         </t>
  </si>
  <si>
    <t>112707808</t>
  </si>
  <si>
    <t>1316931835</t>
  </si>
  <si>
    <t xml:space="preserve">WILBARGER COUNTY HOSPITAL DISTRICT-WILBARGER GENERAL HOSPITAL                        </t>
  </si>
  <si>
    <t>020950401</t>
  </si>
  <si>
    <t>1134172406</t>
  </si>
  <si>
    <t xml:space="preserve">COLUMBIA MEDICAL CENTER OF ARLINGTON SUBSIDIARY LP-MEDICAL CENTER OF ARLINGTON                       </t>
  </si>
  <si>
    <t>111905902</t>
  </si>
  <si>
    <t>1306897277</t>
  </si>
  <si>
    <t xml:space="preserve">COLUMBIA MEDICAL CENTER OF DENTON SUBSIDIARY LP-DENTON REGIONAL MEDICAL CENTER                    </t>
  </si>
  <si>
    <t>020979302</t>
  </si>
  <si>
    <t>1902857766</t>
  </si>
  <si>
    <t xml:space="preserve">COLUMBIA MEDICAL CENTER OF LAS COLINAS, INC-LAS COLINAS MEDICAL CENTER                        </t>
  </si>
  <si>
    <t>127311205</t>
  </si>
  <si>
    <t>1699726406</t>
  </si>
  <si>
    <t xml:space="preserve">COLUMBIA MEDICAL CENTER OF PLANO LP-MEDICAL CENTER OF PLANO                           </t>
  </si>
  <si>
    <t>094105602</t>
  </si>
  <si>
    <t>1518911833</t>
  </si>
  <si>
    <t xml:space="preserve">COLUMBIA NORTH HILLS HOSPITAL-COLUMBIA NORTH HILLS HOSPITA                      </t>
  </si>
  <si>
    <t>094193202</t>
  </si>
  <si>
    <t>1659323772</t>
  </si>
  <si>
    <t xml:space="preserve">COLUMBIA PLAZA MED CTR OF FT WORTH SUBSIDIARY LP-PLAZA MEDICAL CENTER OF FORT WORTH                </t>
  </si>
  <si>
    <t>112716902</t>
  </si>
  <si>
    <t>1619924719</t>
  </si>
  <si>
    <t xml:space="preserve">COLUMBIA RIO GRANDE HEALTHCARE LP-RIO GRANDE REGIONAL HOSPITAL                      </t>
  </si>
  <si>
    <t>020947001</t>
  </si>
  <si>
    <t>1043267701</t>
  </si>
  <si>
    <t xml:space="preserve">COLUMBIA VALLEY HEALTHCARE SYSTEMS LP-VALLEY REGIONAL MEDICAL CENTER                    </t>
  </si>
  <si>
    <t>112671602</t>
  </si>
  <si>
    <t>1972581940</t>
  </si>
  <si>
    <t xml:space="preserve">COMMUNITY HOSPITAL OF BRAZOSPORT-BRAZOSPORT REGIONAL HEALTH SYSTEM                 </t>
  </si>
  <si>
    <t>091770005</t>
  </si>
  <si>
    <t>1326025701</t>
  </si>
  <si>
    <t xml:space="preserve">CONCHO COUNTY HOSPITAL                            </t>
  </si>
  <si>
    <t>364396701</t>
  </si>
  <si>
    <t>1992709661</t>
  </si>
  <si>
    <t xml:space="preserve">CONTINUECARE HOSPITAL AT HENDRICK MEDICAL CENTER-CONTINUE CARE HOSPITAL AT HENDRICK MEDICAL CENTER </t>
  </si>
  <si>
    <t>130826407</t>
  </si>
  <si>
    <t>1639176456</t>
  </si>
  <si>
    <t xml:space="preserve">COON MEMORIAL HOSPITAL                            </t>
  </si>
  <si>
    <t>313347201</t>
  </si>
  <si>
    <t>1235374612</t>
  </si>
  <si>
    <t xml:space="preserve">CORINTH INVESTOR HOLDINGS LLC-                                                  </t>
  </si>
  <si>
    <t>094221102</t>
  </si>
  <si>
    <t>1386652527</t>
  </si>
  <si>
    <t xml:space="preserve">CORNERSTONE REGIONAL HOSPITAL                     </t>
  </si>
  <si>
    <t>136331910</t>
  </si>
  <si>
    <t>1720096019</t>
  </si>
  <si>
    <t xml:space="preserve">COUNTY OF WARD-WARD MEMORIAL HOSPITAL                            </t>
  </si>
  <si>
    <t>137227806</t>
  </si>
  <si>
    <t>1790702371</t>
  </si>
  <si>
    <t xml:space="preserve">COUNTY OF YOAKUM-YOAKUM COUNTY HOSPITAL                            </t>
  </si>
  <si>
    <t>139461107</t>
  </si>
  <si>
    <t>1972517365</t>
  </si>
  <si>
    <t xml:space="preserve">COVENANT HEALTH SYSTEM-COVENANT MEDICAL CENTER                           </t>
  </si>
  <si>
    <t>199602701</t>
  </si>
  <si>
    <t>1316197767</t>
  </si>
  <si>
    <t xml:space="preserve">CRANE COUNTY HOSPITAL DISTRICT-CRANE MEMORIAL HOSPITAL                           </t>
  </si>
  <si>
    <t>094141105</t>
  </si>
  <si>
    <t>1063500270</t>
  </si>
  <si>
    <t xml:space="preserve">CROSBYTON CLINIC HOSPITAL                         </t>
  </si>
  <si>
    <t>219336901</t>
  </si>
  <si>
    <t>1861690364</t>
  </si>
  <si>
    <t xml:space="preserve">DALLAS MEDICAL CENTER LLC-                                                  </t>
  </si>
  <si>
    <t>133544006</t>
  </si>
  <si>
    <t>1568454403</t>
  </si>
  <si>
    <t xml:space="preserve">DEAF SMITH COUNTY HOSPITAL DISTRICT-HEREFORD REGIONAL MEDICAL CENTER                  </t>
  </si>
  <si>
    <t>364597001</t>
  </si>
  <si>
    <t>1407229529</t>
  </si>
  <si>
    <t xml:space="preserve">DECATUR HOSPITAL AUTHORITY-WISE HEALTH SYSTEM                                </t>
  </si>
  <si>
    <t>112727605</t>
  </si>
  <si>
    <t>1891741468</t>
  </si>
  <si>
    <t xml:space="preserve">DOCTORS HOSPITAL 1997 LP-UNITED MEMORIAL MEDICAL CENTER                    </t>
  </si>
  <si>
    <t>137074409</t>
  </si>
  <si>
    <t>1689650921</t>
  </si>
  <si>
    <t xml:space="preserve">EASTLAND MEMORIAL HOSPITAL DISTRICT-EASTLAND MEMORIAL HOSPITAL                        </t>
  </si>
  <si>
    <t>121053602</t>
  </si>
  <si>
    <t>1487639175</t>
  </si>
  <si>
    <t xml:space="preserve">KNOX COUNTY HOSPITAL DISTRICT-KNOX COUNTY HOSPITAL                              </t>
  </si>
  <si>
    <t>135034009</t>
  </si>
  <si>
    <t>1871583153</t>
  </si>
  <si>
    <t xml:space="preserve">ELECTRA HOSPITAL DISTRICT-ELECTRA MEMORIAL HOSPITAL                         </t>
  </si>
  <si>
    <t>138951211</t>
  </si>
  <si>
    <t>1316936990</t>
  </si>
  <si>
    <t xml:space="preserve">EL PASO COUNTY HOSPITAL DISTRICT-UNIVERSITY MEDICAL CENTER OF EL PASO              </t>
  </si>
  <si>
    <t>094109802</t>
  </si>
  <si>
    <t>1770536120</t>
  </si>
  <si>
    <t xml:space="preserve">EL PASO HEALTHCARE SYSTEM LTD-LAS PALMAS MEDICAL CENTER                         </t>
  </si>
  <si>
    <t>133367602</t>
  </si>
  <si>
    <t>1841294246</t>
  </si>
  <si>
    <t xml:space="preserve">FALLS COMMUNITY HOSPITAL AND CLINIC               </t>
  </si>
  <si>
    <t>112692202</t>
  </si>
  <si>
    <t>1598746703</t>
  </si>
  <si>
    <t xml:space="preserve">FISHER COUNTY HOSPITAL-FISHER COUNTY HOSPITAL DISTRICT                   </t>
  </si>
  <si>
    <t>112688004</t>
  </si>
  <si>
    <t>1447574819</t>
  </si>
  <si>
    <t xml:space="preserve">FRIO HOSPITAL-FRIO REGIONAL SWING BED                           </t>
  </si>
  <si>
    <t>112728403</t>
  </si>
  <si>
    <t>1083619712</t>
  </si>
  <si>
    <t xml:space="preserve">GENERAL HOSPITAL-IRAAN GENERAL HOSPITAL                            </t>
  </si>
  <si>
    <t>121785303</t>
  </si>
  <si>
    <t>1932108214</t>
  </si>
  <si>
    <t xml:space="preserve">GONZALES HEALTHCARE SYSTEMS-MEMORIAL HOSPITAL                                 </t>
  </si>
  <si>
    <t>197063401</t>
  </si>
  <si>
    <t>1841497153</t>
  </si>
  <si>
    <t xml:space="preserve">GPCH LLC-GOLDEN PLAINS COMMUNITY HOSPITAL                  </t>
  </si>
  <si>
    <t>147918003</t>
  </si>
  <si>
    <t>1154317774</t>
  </si>
  <si>
    <t xml:space="preserve">GRIMES ST JOSEPH HEALTH CENTER                    </t>
  </si>
  <si>
    <t xml:space="preserve">CHRISTUS SPOHN HEALTH SYSTEM CORPORATION-CHRISTUS SPOHN HOSPITAL CORPUS CHRISTI            </t>
  </si>
  <si>
    <t>110856504</t>
  </si>
  <si>
    <t>1134137466</t>
  </si>
  <si>
    <t xml:space="preserve">HAMILTON HOSPITAL                                 </t>
  </si>
  <si>
    <t>094117105</t>
  </si>
  <si>
    <t>1992707780</t>
  </si>
  <si>
    <t xml:space="preserve">HANSFORD COUNTY HOSPITAL DISTRICT-HANSFORD COUNTY HOSPITAL                          </t>
  </si>
  <si>
    <t>121692107</t>
  </si>
  <si>
    <t>1861510521</t>
  </si>
  <si>
    <t xml:space="preserve">HARDEMAN COUNTY MEMORIAL HOSPITAL                 </t>
  </si>
  <si>
    <t>133355104</t>
  </si>
  <si>
    <t>1205900370</t>
  </si>
  <si>
    <t xml:space="preserve">HARRIS COUNTY HOSPITAL DISTRICT                   </t>
  </si>
  <si>
    <t>112702904</t>
  </si>
  <si>
    <t>1184607897</t>
  </si>
  <si>
    <t xml:space="preserve">HASKELL MEMORIAL HOSPITAL                         </t>
  </si>
  <si>
    <t>109588703</t>
  </si>
  <si>
    <t>1558354241</t>
  </si>
  <si>
    <t xml:space="preserve">HEMPHILL COUNTY HOSPITAL                          </t>
  </si>
  <si>
    <t>138644310</t>
  </si>
  <si>
    <t>1528064649</t>
  </si>
  <si>
    <t xml:space="preserve">HENDRICK MEDICAL CENTER                           </t>
  </si>
  <si>
    <t>312239201</t>
  </si>
  <si>
    <t>1841562709</t>
  </si>
  <si>
    <t xml:space="preserve">HH KILLEEN HEALTH SYSTEM LLC-SETON MEDICAL CENTER HARKER HEIGHTS               </t>
  </si>
  <si>
    <t>136430906</t>
  </si>
  <si>
    <t>1497726343</t>
  </si>
  <si>
    <t xml:space="preserve">HILL COUNTRY MEMORIAL HOSPITAL-HILL COUNTRY MEMORIAL HOSP                        </t>
  </si>
  <si>
    <t>138962907</t>
  </si>
  <si>
    <t>1891882833</t>
  </si>
  <si>
    <t xml:space="preserve">HILLCREST BAPTIST MEDICAL CENTER-BAYLOR SCOTT AND WHITE MEDICAL CENTER HILLCREST   </t>
  </si>
  <si>
    <t>193867201</t>
  </si>
  <si>
    <t>1740450121</t>
  </si>
  <si>
    <t xml:space="preserve">HOUSTON NORTHWEST OPERATING COMPANY LLC-HOUSTON NORTHWEST MEDICAL CENTER                  </t>
  </si>
  <si>
    <t>131038504</t>
  </si>
  <si>
    <t>1598750721</t>
  </si>
  <si>
    <t xml:space="preserve">HUNT MEMORIAL HOSPITAL DISTRICT-HUNT REGIONAL MEDICAL CENTER                      </t>
  </si>
  <si>
    <t>119874904</t>
  </si>
  <si>
    <t>1790777696</t>
  </si>
  <si>
    <t xml:space="preserve">JACK COUNTY HOSPITAL DISTRICT-FAITH COMMUNITY HOSPITAL                          </t>
  </si>
  <si>
    <t>121808305</t>
  </si>
  <si>
    <t>1124061882</t>
  </si>
  <si>
    <t xml:space="preserve">JACKSON COUNTY HOSPITAL DISTRICT-JACKSON HEALTHCARE CENTER                         </t>
  </si>
  <si>
    <t>112724302</t>
  </si>
  <si>
    <t>1811942238</t>
  </si>
  <si>
    <t xml:space="preserve">KINGWOOD PLAZA HOSPITAL-HCA HOUSTON HEALTHCARE KINGWOOD                   </t>
  </si>
  <si>
    <t>135035706</t>
  </si>
  <si>
    <t>1861488579</t>
  </si>
  <si>
    <t xml:space="preserve">KNAPP MEDICAL CENTER                              </t>
  </si>
  <si>
    <t>366222301</t>
  </si>
  <si>
    <t>1558721365</t>
  </si>
  <si>
    <t xml:space="preserve">KND DEVELOPMENT 68, LLC-KINDRED HOSPITAL - SAN ANTONIO CENTRAL            </t>
  </si>
  <si>
    <t>094178302</t>
  </si>
  <si>
    <t>1114998911</t>
  </si>
  <si>
    <t xml:space="preserve">LAKE GRANBURY MEDICAL CENTER                      </t>
  </si>
  <si>
    <t>020966001</t>
  </si>
  <si>
    <t>1205018439</t>
  </si>
  <si>
    <t xml:space="preserve">LAKE POINTE MEDICAL CENTER-BAYLOR SCOTT &amp; WHITE MEDICAL CENTER LAKE POINTE   </t>
  </si>
  <si>
    <t>127313803</t>
  </si>
  <si>
    <t>1700854288</t>
  </si>
  <si>
    <t xml:space="preserve">LAMB HEALTHCARE CENTER                            </t>
  </si>
  <si>
    <t>162033801</t>
  </si>
  <si>
    <t>1548232044</t>
  </si>
  <si>
    <t xml:space="preserve">LAREDO MEDICAL CENTER                             </t>
  </si>
  <si>
    <t>094186602</t>
  </si>
  <si>
    <t>1396731105</t>
  </si>
  <si>
    <t xml:space="preserve">LAREDO REGIONAL MEDICAL CENTER LP-DOCTORS HOSPITAL OF LAREDO                        </t>
  </si>
  <si>
    <t>135233809</t>
  </si>
  <si>
    <t>1992767511</t>
  </si>
  <si>
    <t xml:space="preserve">LAVACA MEDICAL CENTER                             </t>
  </si>
  <si>
    <t>284333604</t>
  </si>
  <si>
    <t>1154324952</t>
  </si>
  <si>
    <t xml:space="preserve">LIBERTY COUNTY HOSPITAL DISTRICT NO 1-LIBERTY DAYTON REGIONAL MEDICAL CENTER            </t>
  </si>
  <si>
    <t>121781205</t>
  </si>
  <si>
    <t>1831140979</t>
  </si>
  <si>
    <t xml:space="preserve">LILLIAN M HUDSPETH MEMORIAL ER PHYS-LILLIAN M HUDSPETH MEMORIAL HOSPITAL              </t>
  </si>
  <si>
    <t>140714001</t>
  </si>
  <si>
    <t>1861487779</t>
  </si>
  <si>
    <t xml:space="preserve">LIMESTONE MEDICAL CENTER                          </t>
  </si>
  <si>
    <t>110839103</t>
  </si>
  <si>
    <t>1528026267</t>
  </si>
  <si>
    <t xml:space="preserve">LONGVIEW MEDICAL CENTER LP-LONGVIEW REGIONAL MEDICAL CENTER                  </t>
  </si>
  <si>
    <t>281514401</t>
  </si>
  <si>
    <t>1225289499</t>
  </si>
  <si>
    <t xml:space="preserve">LUBBOCK HERITAGE HOSPITAL LLC-GRACE MEDICAL CENTER                              </t>
  </si>
  <si>
    <t>094180903</t>
  </si>
  <si>
    <t>1821066820</t>
  </si>
  <si>
    <t xml:space="preserve">LYNN COUNTY HOSPITAL-LYNN COUNTY HOSPITAL DISTRICT                     </t>
  </si>
  <si>
    <t>020990001</t>
  </si>
  <si>
    <t>1780731737</t>
  </si>
  <si>
    <t xml:space="preserve">MADISON ST JOSEPH HEALTH CENTER                   </t>
  </si>
  <si>
    <t>136145310</t>
  </si>
  <si>
    <t>1679560866</t>
  </si>
  <si>
    <t xml:space="preserve">MARTIN COUNTY HOSPITAL DISTRICT                   </t>
  </si>
  <si>
    <t>130959304</t>
  </si>
  <si>
    <t>1679678767</t>
  </si>
  <si>
    <t xml:space="preserve">MATAGORDA COUNTY HOSPITAL DISTRICT-MATAGORDA REGIONAL MEDICAL CENTER                 </t>
  </si>
  <si>
    <t>094172602</t>
  </si>
  <si>
    <t>1023013935</t>
  </si>
  <si>
    <t xml:space="preserve">MCCAMEY HOSPITAL                                  </t>
  </si>
  <si>
    <t>094192402</t>
  </si>
  <si>
    <t>1255384533</t>
  </si>
  <si>
    <t xml:space="preserve">MEDICAL CENTER OF LEWISVILLE SUBSIDIARY LP-MEDICAL CENTER OF LEWISVILLE                      </t>
  </si>
  <si>
    <t>212140201</t>
  </si>
  <si>
    <t>1427048453</t>
  </si>
  <si>
    <t>MEDINA COUNTY HOSPITAL DISTRICT-MEDINA HEALTHCARE SYSTEM,MEDINA REGIONAL HOSPITAL,</t>
  </si>
  <si>
    <t xml:space="preserve">ADVENTIST HEALTH SYSTEM SUNBELT INC-                                                  </t>
  </si>
  <si>
    <t>137805107</t>
  </si>
  <si>
    <t>1982666111</t>
  </si>
  <si>
    <t xml:space="preserve">MEMORIAL HERMANN HOSPITAL SYSTEM-MHHS HERMANN HOSPITAL                             </t>
  </si>
  <si>
    <t>020934801</t>
  </si>
  <si>
    <t>1740233782</t>
  </si>
  <si>
    <t xml:space="preserve">MEMORIAL HERMANN HOSPITAL SYSTEM-MHHS MEMORIAL CITY HOSPITAL                       </t>
  </si>
  <si>
    <t>201645301</t>
  </si>
  <si>
    <t>1033114608</t>
  </si>
  <si>
    <t xml:space="preserve">MEMORIAL HERMANN SUGAR LAND SURGICAL HOSPITAL LLP-SUGAR LAND SURGICAL HOSPITAL                      </t>
  </si>
  <si>
    <t>094121303</t>
  </si>
  <si>
    <t>1821025990</t>
  </si>
  <si>
    <t xml:space="preserve">MEMORIAL HOSPITAL                                 </t>
  </si>
  <si>
    <t>112697102</t>
  </si>
  <si>
    <t>1689650616</t>
  </si>
  <si>
    <t xml:space="preserve">MEMORIAL HOSP OF POLK COUNTY-CHI ST LUKES HEALTH MEMORIAL LIVINGSTON           </t>
  </si>
  <si>
    <t>137909111</t>
  </si>
  <si>
    <t>1689630865</t>
  </si>
  <si>
    <t xml:space="preserve">MEMORIAL MEDICAL CENTER                           </t>
  </si>
  <si>
    <t>139172412</t>
  </si>
  <si>
    <t>1396746129</t>
  </si>
  <si>
    <t xml:space="preserve">MEMORIAL MEDICAL CENTER OF EAST TEXAS-MEMORIAL MED CTR OF EAST TX                       </t>
  </si>
  <si>
    <t>130734007</t>
  </si>
  <si>
    <t>1578547345</t>
  </si>
  <si>
    <t xml:space="preserve">MEMORIAL MEDICAL CENTER SAN AUGUSTINE             </t>
  </si>
  <si>
    <t>121820803</t>
  </si>
  <si>
    <t>1871560003</t>
  </si>
  <si>
    <t xml:space="preserve">METHODIST HEALTHCARE SYSTEM OF SAN ANTONIO LTD LLP-METHODIST AMBULATORY SURGERY                      </t>
  </si>
  <si>
    <t>379200401</t>
  </si>
  <si>
    <t>1376071530</t>
  </si>
  <si>
    <t xml:space="preserve">METHODIST HEALTHCARE SYSTEM OF SAN ANTONIO LTD LLP-METHODIST HOSPITAL SOUTH                          </t>
  </si>
  <si>
    <t>204254101</t>
  </si>
  <si>
    <t>1659525236</t>
  </si>
  <si>
    <t xml:space="preserve">METHODIST HEALTHCARE SYSTEM OF SAN ANTONIO LTD LLP-METHODIST STONE OAK HOSPITAL                      </t>
  </si>
  <si>
    <t>094154402</t>
  </si>
  <si>
    <t>1124074273</t>
  </si>
  <si>
    <t xml:space="preserve">METHODIST HOSPITAL                                </t>
  </si>
  <si>
    <t>133258705</t>
  </si>
  <si>
    <t>1225146400</t>
  </si>
  <si>
    <t xml:space="preserve">METHODIST HOSPITAL LEVELLAND-COVENANT HOSPITAL LEVELLAND                       </t>
  </si>
  <si>
    <t>126679303</t>
  </si>
  <si>
    <t>1275592131</t>
  </si>
  <si>
    <t xml:space="preserve">METHODIST HOSPITAL OF DALLAS-METHODIST CHARLTON MEDICAL CENTER                 </t>
  </si>
  <si>
    <t>127263503</t>
  </si>
  <si>
    <t>1073580726</t>
  </si>
  <si>
    <t xml:space="preserve">METHODIST HOSPITAL PLAINVIEW-COVENANT HOSPITAL PLAINVIEW                       </t>
  </si>
  <si>
    <t>135032405</t>
  </si>
  <si>
    <t>1528027786</t>
  </si>
  <si>
    <t xml:space="preserve">METHODIST HOSPITALS OF DALLAS-METHODIST DALLAS MEDICAL CENTER                   </t>
  </si>
  <si>
    <t>127319504</t>
  </si>
  <si>
    <t>1437171568</t>
  </si>
  <si>
    <t xml:space="preserve">METHODISTS CHILDRENS HOSPITAL-COVENANT CHILDRENS HOSPITAL                       </t>
  </si>
  <si>
    <t>094119702</t>
  </si>
  <si>
    <t>1629089966</t>
  </si>
  <si>
    <t xml:space="preserve">METROPLEX ADVENTIST HOSPITAL INC-METROPLEX HOSPITAL                                </t>
  </si>
  <si>
    <t>136143806</t>
  </si>
  <si>
    <t>1255325817</t>
  </si>
  <si>
    <t xml:space="preserve">MIDLAND COUNTY HOSPITAL DISTRCT-MIDLAND MEMORIAL HOSPITAL                         </t>
  </si>
  <si>
    <t>136325111</t>
  </si>
  <si>
    <t>1184631673</t>
  </si>
  <si>
    <t xml:space="preserve">MITCHELL COUNTY HOSPITAL DISTRICT-MITCHELL COUNTY HOSPITAL                          </t>
  </si>
  <si>
    <t>094129604</t>
  </si>
  <si>
    <t>1700991700</t>
  </si>
  <si>
    <t xml:space="preserve">MOORE COUNTY HOSPITAL-                                                  </t>
  </si>
  <si>
    <t>094108002</t>
  </si>
  <si>
    <t>1679578439</t>
  </si>
  <si>
    <t xml:space="preserve">MOTHER FRANCES HOSPITAL REGIONAL HEALTHCARE CENTER-MOTHER FRANCES HOSPITAL                           </t>
  </si>
  <si>
    <t>127301306</t>
  </si>
  <si>
    <t>1659308948</t>
  </si>
  <si>
    <t xml:space="preserve">MOTHER FRANCES HOSPITAL WINNSBORO                 </t>
  </si>
  <si>
    <t>120745806</t>
  </si>
  <si>
    <t>1699770149</t>
  </si>
  <si>
    <t xml:space="preserve">MUENSTER HOSPITAL DISTRICT-MUENSTER MEMORIAL HOSPITAL                        </t>
  </si>
  <si>
    <t xml:space="preserve">PALESTINE PRINCIPAL HEALTHCARE LIMITED PARTNERSHIP-PALESTINE REGIONAL MEDICAL                        </t>
  </si>
  <si>
    <t>130605205</t>
  </si>
  <si>
    <t>1700885076</t>
  </si>
  <si>
    <t xml:space="preserve">NACOGDOCHES MEDICAL CENTER                        </t>
  </si>
  <si>
    <t>112701102</t>
  </si>
  <si>
    <t>1144274226</t>
  </si>
  <si>
    <t xml:space="preserve">NAVARRO REGIONAL HOSPITAL                         </t>
  </si>
  <si>
    <t>133252005</t>
  </si>
  <si>
    <t>1093786204</t>
  </si>
  <si>
    <t xml:space="preserve">NHCI OF HILLSBORO INC-HILL REGIONAL HOSPITAL                            </t>
  </si>
  <si>
    <t>126675104</t>
  </si>
  <si>
    <t>1992753222</t>
  </si>
  <si>
    <t xml:space="preserve">TARRANT COUNTY HOSPITAL DISTRICT-JPS HEALTH NETWORK                                </t>
  </si>
  <si>
    <t>127310404</t>
  </si>
  <si>
    <t>1689655912</t>
  </si>
  <si>
    <t xml:space="preserve">NOCONA HOSPITAL DISTRICT-NOCONA GENERAL HOSPITAL                           </t>
  </si>
  <si>
    <t>185964702</t>
  </si>
  <si>
    <t>1548236524</t>
  </si>
  <si>
    <t xml:space="preserve">NORTH CENTRAL SURGICAL CENTER LLP                 </t>
  </si>
  <si>
    <t>020989201</t>
  </si>
  <si>
    <t>1205837770</t>
  </si>
  <si>
    <t xml:space="preserve">NORTH RUNNELS COUNTY HOSPITAL-                                                  </t>
  </si>
  <si>
    <t>350857401</t>
  </si>
  <si>
    <t>1871911016</t>
  </si>
  <si>
    <t xml:space="preserve">NORTH TEXAS - MCA, LLC-MEDICAL CENTER OF ALLIANCE                        </t>
  </si>
  <si>
    <t>121787905</t>
  </si>
  <si>
    <t>1396748471</t>
  </si>
  <si>
    <t xml:space="preserve">NORTH WHEELER COUNTY HOSTPIAL DISTRICT-PARKVIEW HOSPITAL                                 </t>
  </si>
  <si>
    <t>127262703</t>
  </si>
  <si>
    <t>1073511762</t>
  </si>
  <si>
    <t xml:space="preserve">BAYLOR MED CTR AT GRAPEVINE-BAYLOR SCOTT AND WHITE MEDICAL CENTER-GRAPEVINE   </t>
  </si>
  <si>
    <t>358963201</t>
  </si>
  <si>
    <t>1255708715</t>
  </si>
  <si>
    <t xml:space="preserve">OCH HOLDINGS-OUR CHILDRENS HOUSE                               </t>
  </si>
  <si>
    <t>112704504</t>
  </si>
  <si>
    <t>1245237593</t>
  </si>
  <si>
    <t xml:space="preserve">OCHILTREE GENERAL HOSPITAL                        </t>
  </si>
  <si>
    <t>112711003</t>
  </si>
  <si>
    <t>1801852736</t>
  </si>
  <si>
    <t xml:space="preserve">ODESSA REGIONAL HOSPITAL LP-ODESSA REGIONAL MEDICAL CENTER                    </t>
  </si>
  <si>
    <t>285368102</t>
  </si>
  <si>
    <t>1881915304</t>
  </si>
  <si>
    <t xml:space="preserve">OPREX SURGERY BAYTOWN LP-ALTAS BAYTOWN HOSPICE                             </t>
  </si>
  <si>
    <t>020977701</t>
  </si>
  <si>
    <t>1134166192</t>
  </si>
  <si>
    <t xml:space="preserve">ORTHOPEDIC  HOSPITAL LTD-TEXAS ORTHOPEDIC  HOSPITAL                        </t>
  </si>
  <si>
    <t>152686501</t>
  </si>
  <si>
    <t>1780786699</t>
  </si>
  <si>
    <t xml:space="preserve">PALACIOS COMMUNITY MEDICAL CENTER                 </t>
  </si>
  <si>
    <t>138950412</t>
  </si>
  <si>
    <t>1972590602</t>
  </si>
  <si>
    <t xml:space="preserve">PALO PINTO GENERAL HOSPITAL                       </t>
  </si>
  <si>
    <t>346138602</t>
  </si>
  <si>
    <t>1225439821</t>
  </si>
  <si>
    <t xml:space="preserve">PAM SQUARED AT TEXARKANA, LLC-                                                  </t>
  </si>
  <si>
    <t>111915801</t>
  </si>
  <si>
    <t>1497708929</t>
  </si>
  <si>
    <t xml:space="preserve">PARKVIEW REGIONAL HOSPITAL                        </t>
  </si>
  <si>
    <t>137343308</t>
  </si>
  <si>
    <t>1861475626</t>
  </si>
  <si>
    <t xml:space="preserve">PARMER COUNTY COMMUNITY HOSPITAL                  </t>
  </si>
  <si>
    <t>174662001</t>
  </si>
  <si>
    <t>1316933609</t>
  </si>
  <si>
    <t>PHYSICIANS MEDICAL CENTER LLC-TEXAS HEALTH CENTER FOR DIAGNOSTICS AND SURGERY PL</t>
  </si>
  <si>
    <t>391575301</t>
  </si>
  <si>
    <t>1083112023</t>
  </si>
  <si>
    <t xml:space="preserve">PIPELINE EAST DALLAS LLC-CITY HOSPITAL AT WHITE ROCK                       </t>
  </si>
  <si>
    <t>126840107</t>
  </si>
  <si>
    <t>1477594299</t>
  </si>
  <si>
    <t xml:space="preserve">PREFERRED HOSPITAL LEASING INC-COLLINGSWORTH GENERAL HOSPITAL                    </t>
  </si>
  <si>
    <t>176354201</t>
  </si>
  <si>
    <t>1013970862</t>
  </si>
  <si>
    <t xml:space="preserve">PREFERRED HOSPITAL LEASING VAN HORN INC-CULBERSON HOSPITAL                                </t>
  </si>
  <si>
    <t>354018901</t>
  </si>
  <si>
    <t>1790174860</t>
  </si>
  <si>
    <t xml:space="preserve">PRIME HEALTHCARE SERVICES MESQUITE LLC-DALLAS REGIONAL MEDICAL CENTER                    </t>
  </si>
  <si>
    <t>111829102</t>
  </si>
  <si>
    <t>1093708679</t>
  </si>
  <si>
    <t xml:space="preserve">PROVIDENCE HEALTH SERVICES OF WACO-PROVIDENCE HEALTHCARE NETWORK                     </t>
  </si>
  <si>
    <t>121799406</t>
  </si>
  <si>
    <t>1295739258</t>
  </si>
  <si>
    <t xml:space="preserve">RANKIN COUNTY HOSPITAL DISTRICT                   </t>
  </si>
  <si>
    <t>020991801</t>
  </si>
  <si>
    <t>1942240189</t>
  </si>
  <si>
    <t xml:space="preserve">REFUGIO COUNTY MEMORIAL HOSPITAL DISTRICT         </t>
  </si>
  <si>
    <t>133244705</t>
  </si>
  <si>
    <t>1275581852</t>
  </si>
  <si>
    <t xml:space="preserve">ROLLING PLAINS MEMORIAL HOSPITAL                  </t>
  </si>
  <si>
    <t>127267603</t>
  </si>
  <si>
    <t>1942294939</t>
  </si>
  <si>
    <t xml:space="preserve">SAINT JOSEPH REGIONAL HEALTH CENTER               </t>
  </si>
  <si>
    <t>112693002</t>
  </si>
  <si>
    <t>1194776104</t>
  </si>
  <si>
    <t xml:space="preserve">SAN ANGELO COMMUNITY MEDICAL CENTER               </t>
  </si>
  <si>
    <t>326725404</t>
  </si>
  <si>
    <t>1265772362</t>
  </si>
  <si>
    <t>SCOTT AND WHITE HOSPITAL COLLEGE STATION-BAYLOR SCOTT &amp; WHITE MEDICAL CENTER COLLEGE STATIO</t>
  </si>
  <si>
    <t>190123303</t>
  </si>
  <si>
    <t>1265568638</t>
  </si>
  <si>
    <t xml:space="preserve">SCOTT AND WHITE HOSPITAL ROUND ROCK-BAYLOR SCOTT &amp; WHITE MEDICAL CENTER - ROUND ROCK  </t>
  </si>
  <si>
    <t>136327710</t>
  </si>
  <si>
    <t>1962497800</t>
  </si>
  <si>
    <t xml:space="preserve">SCOTT AND WHITE HOSPITAL TAYLOR-BAYLOR SCOTT AND WHITE MEDICAL CENTER TAYLOR      </t>
  </si>
  <si>
    <t>137249208</t>
  </si>
  <si>
    <t>1477516466</t>
  </si>
  <si>
    <t xml:space="preserve">SCOTT AND WHITE MEMORIAL HOSPITAL-SCOTT AND WHITE MEDICAL CENTER TEMPLE             </t>
  </si>
  <si>
    <t>135226205</t>
  </si>
  <si>
    <t>1154315307</t>
  </si>
  <si>
    <t xml:space="preserve">SCOTT &amp;  WHITE HOSPITAL BRENHAM-BAYLOR SCOTT AND WHITE MEDICAL CENTER BRENHAM     </t>
  </si>
  <si>
    <t>136330112</t>
  </si>
  <si>
    <t>1578588463</t>
  </si>
  <si>
    <t xml:space="preserve">SCURRY COUNTY HOSPITAL DISTRICT-D.M. COGDELL MEMORIAL HOSPITAL                    </t>
  </si>
  <si>
    <t>094153604</t>
  </si>
  <si>
    <t>1356446686</t>
  </si>
  <si>
    <t xml:space="preserve">SETON FAMILY OF HOSPITALS-ASCENSION SETON EDGAR B DAVIS                     </t>
  </si>
  <si>
    <t>137265806</t>
  </si>
  <si>
    <t>1093810327</t>
  </si>
  <si>
    <t>SETON FAMILY OF HOSPITALS-DELL SETON MEDICAL CENTER AT THE UNIVERSITY OF TEX</t>
  </si>
  <si>
    <t>094151004</t>
  </si>
  <si>
    <t>1003833013</t>
  </si>
  <si>
    <t xml:space="preserve">SETON FAMILY OF HOSPITALS-SETON HIGHLAND LAKES                              </t>
  </si>
  <si>
    <t>135225404</t>
  </si>
  <si>
    <t>1164526786</t>
  </si>
  <si>
    <t xml:space="preserve">SETON FAMILY OF HOSPITALS-SETON MEDICAL CENTER AUSTIN                       </t>
  </si>
  <si>
    <t>208013701</t>
  </si>
  <si>
    <t>1619115383</t>
  </si>
  <si>
    <t xml:space="preserve">SETON FAMILY OF HOSPITALS-SETON MEDICAL CENTER HAYS                         </t>
  </si>
  <si>
    <t>194106401</t>
  </si>
  <si>
    <t>1578780870</t>
  </si>
  <si>
    <t xml:space="preserve">SETON FAMILY OF HOSPITALS-SETON MEDICAL CENTER WILLIAMSON                   </t>
  </si>
  <si>
    <t>121193005</t>
  </si>
  <si>
    <t>1538150370</t>
  </si>
  <si>
    <t xml:space="preserve">SHAMROCK GENERAL HOSPITAL                         </t>
  </si>
  <si>
    <t xml:space="preserve">PARKLAND MEMORIAL HOSPITAL-PARKLAND MEMORIAL-REHAB UNIT                      </t>
  </si>
  <si>
    <t>127300503</t>
  </si>
  <si>
    <t>1184622847</t>
  </si>
  <si>
    <t>CHI ST LUKES HEALTH BAYLOR COLLEGE OF MEDICINE MED</t>
  </si>
  <si>
    <t>127294003</t>
  </si>
  <si>
    <t>1790782704</t>
  </si>
  <si>
    <t xml:space="preserve">SID PETERSON MEMORIAL HOSPITAL-PETERSON REGIONAL MEDICAL CENTER                  </t>
  </si>
  <si>
    <t>127303903</t>
  </si>
  <si>
    <t>1700883196</t>
  </si>
  <si>
    <t xml:space="preserve">OAK BEND MEDICAL CENTER-OAKBEND MEDICAL CENTER                            </t>
  </si>
  <si>
    <t>216719901</t>
  </si>
  <si>
    <t>1700826575</t>
  </si>
  <si>
    <t xml:space="preserve">SOMERVELL COUNTY HOSPITAL DISTRICT-GLEN ROSE MEDICAL CENTER                          </t>
  </si>
  <si>
    <t>136332705</t>
  </si>
  <si>
    <t>1760567085</t>
  </si>
  <si>
    <t xml:space="preserve">STARR COUNTY MEMORIAL HOSPITAL                    </t>
  </si>
  <si>
    <t>094160103</t>
  </si>
  <si>
    <t>1720033947</t>
  </si>
  <si>
    <t xml:space="preserve">ST DAVIDS COMMUNITY HOSPITAL-ST DAVIDS MEDICAL CENTER                          </t>
  </si>
  <si>
    <t>020957901</t>
  </si>
  <si>
    <t>1649223645</t>
  </si>
  <si>
    <t xml:space="preserve">ST DAVIDS HEALTHCARE PARTNERSHIP LP LLP-ROUND ROCK MEDICAL CENTER                         </t>
  </si>
  <si>
    <t>112717702</t>
  </si>
  <si>
    <t>1679528889</t>
  </si>
  <si>
    <t xml:space="preserve">ST DAVIDS HEALTHCARE PARTNERSHIP LP LLP-SOUTH AUSTIN HOSPITAL                             </t>
  </si>
  <si>
    <t>094216103</t>
  </si>
  <si>
    <t>1629021845</t>
  </si>
  <si>
    <t xml:space="preserve">ST DAVID'S HEALTHCARE PARTNERSHIP LP LLP-ST DAVID'S NORTH AUSTIN MEDICAL CENTER            </t>
  </si>
  <si>
    <t xml:space="preserve">TENET HOSPITALS LIMITED-THE HOSPITALS OF PROVIDENCE MEMORIAL CAMPUS       </t>
  </si>
  <si>
    <t>020992601</t>
  </si>
  <si>
    <t>1083612121</t>
  </si>
  <si>
    <t xml:space="preserve">STONEWALL MEMORIAL HOSPITAL DISTRICT-STONEWALL MEMORIAL HOSPITAL                       </t>
  </si>
  <si>
    <t>020988401</t>
  </si>
  <si>
    <t>1023011657</t>
  </si>
  <si>
    <t xml:space="preserve">SWEENY COMMUNITY HOSPITAL                         </t>
  </si>
  <si>
    <t>316076401</t>
  </si>
  <si>
    <t>1518253194</t>
  </si>
  <si>
    <t xml:space="preserve">SWISHER MEMORIAL HEALTHCARE SYSTEM-SWISHER MEMORIAL HOSPITAL                         </t>
  </si>
  <si>
    <t>130606006</t>
  </si>
  <si>
    <t>1124076401</t>
  </si>
  <si>
    <t>196829901</t>
  </si>
  <si>
    <t>1972709970</t>
  </si>
  <si>
    <t xml:space="preserve">TENET HOSPITALS LIMITED-THE HOSPITALS OF PROVIDENCE EAST CAMPUS           </t>
  </si>
  <si>
    <t>369162801</t>
  </si>
  <si>
    <t>1538522412</t>
  </si>
  <si>
    <t xml:space="preserve">TENET HOSPITALS LIMITED-THE HOSPITALS OF PROVIDENCE TRANSMOUNTAIN CAMPUS  </t>
  </si>
  <si>
    <t>130618504</t>
  </si>
  <si>
    <t>1811916901</t>
  </si>
  <si>
    <t xml:space="preserve">TERRY MEMORIAL HOSPITAL DISTRICT-BROWNFIELD REGIONAL MEDICAL CENTER                </t>
  </si>
  <si>
    <t>130614405</t>
  </si>
  <si>
    <t>1174533343</t>
  </si>
  <si>
    <t xml:space="preserve">TEXAS HEALTH ARLINGTON MEMORIAL HOSPITAL-                                                  </t>
  </si>
  <si>
    <t>316296801</t>
  </si>
  <si>
    <t>1215296884</t>
  </si>
  <si>
    <t xml:space="preserve">TEXAS HEALTH HARRIS METHODIST HOSPITAL ALLIANCE-                                                  </t>
  </si>
  <si>
    <t>127304703</t>
  </si>
  <si>
    <t>1508899204</t>
  </si>
  <si>
    <t xml:space="preserve">TEXAS HEALTH HARRIS METHODIST HOSPITAL AZLE-                                                  </t>
  </si>
  <si>
    <t>131036903</t>
  </si>
  <si>
    <t>1396778064</t>
  </si>
  <si>
    <t xml:space="preserve">TEXAS HEALTH HARRIS METHODIST HOSPITAL CLEBURNE-                                                  </t>
  </si>
  <si>
    <t>112677302</t>
  </si>
  <si>
    <t>1336172105</t>
  </si>
  <si>
    <t xml:space="preserve">TEXAS HEALTH HARRIS METHODIST HOSPITAL FORT WORTH-                                                  </t>
  </si>
  <si>
    <t>120726804</t>
  </si>
  <si>
    <t>1417980202</t>
  </si>
  <si>
    <t xml:space="preserve">TEXAS HEALTH HARRIS METHODIST HOSPITAL SOUTHWEST F-                                                  </t>
  </si>
  <si>
    <t>121794503</t>
  </si>
  <si>
    <t>1922031541</t>
  </si>
  <si>
    <t xml:space="preserve">TEXAS HEALTH HARRIS METHODIST HOSPITAL STEPHENVILL-                                                  </t>
  </si>
  <si>
    <t>314080801</t>
  </si>
  <si>
    <t>1033120423</t>
  </si>
  <si>
    <t xml:space="preserve">TEXAS HEALTH HUGULEY INC-TEXAS HEALTH HUGULEY FORT WORTH SOUTH             </t>
  </si>
  <si>
    <t>020908201</t>
  </si>
  <si>
    <t>1396779948</t>
  </si>
  <si>
    <t xml:space="preserve">TEXAS HEALTH PRESBYTERIAN HOSPITAL DALLAS-TEXAS PRESBYTERIAN HOSPITAL OF DALLAS             </t>
  </si>
  <si>
    <t>020967802</t>
  </si>
  <si>
    <t>1003883158</t>
  </si>
  <si>
    <t xml:space="preserve">TEXAS HEALTH PRESBYTERIAN HOSPITAL DENTON-                                                  </t>
  </si>
  <si>
    <t>094140302</t>
  </si>
  <si>
    <t>1457382798</t>
  </si>
  <si>
    <t xml:space="preserve">TEXAS HEALTH PRESBYTERIAN HOSPITAL KAUFMAN-                                                  </t>
  </si>
  <si>
    <t>131030203</t>
  </si>
  <si>
    <t>1801831748</t>
  </si>
  <si>
    <t xml:space="preserve">NACOGDOCHES COUNTY HOSPITAL DISTRICT-MEMORIAL HOSPITAL                                 </t>
  </si>
  <si>
    <t>094205403</t>
  </si>
  <si>
    <t>1730278417</t>
  </si>
  <si>
    <t xml:space="preserve">TEXAS HEALTH SPECIALTY HOSPITAL FORT WORTH-                                                  </t>
  </si>
  <si>
    <t>173574801</t>
  </si>
  <si>
    <t>1245201656</t>
  </si>
  <si>
    <t>TEXAS INSTITUTE FOR SURGERY LLP-TEXAS INSTITUTE FOR SURGERY AT TEXAS HEALTH PRESBY</t>
  </si>
  <si>
    <t>178795401</t>
  </si>
  <si>
    <t>1043328198</t>
  </si>
  <si>
    <t xml:space="preserve">THE HOSPITAL AT WESTLAKE MEDICAL CENTER           </t>
  </si>
  <si>
    <t>163925401</t>
  </si>
  <si>
    <t>1861467573</t>
  </si>
  <si>
    <t xml:space="preserve">THE MEDICAL CENTER OF SOUTHEAST TEXAS LP-                                                  </t>
  </si>
  <si>
    <t>137949705</t>
  </si>
  <si>
    <t>1548387418</t>
  </si>
  <si>
    <t xml:space="preserve">THE METHODIST HOSPITAL                            </t>
  </si>
  <si>
    <t>088189803</t>
  </si>
  <si>
    <t>1356418974</t>
  </si>
  <si>
    <t xml:space="preserve">THROCKMORTON COUNTY MEMORIAL HOSPITAL-                                                  </t>
  </si>
  <si>
    <t>094208803</t>
  </si>
  <si>
    <t>1144203662</t>
  </si>
  <si>
    <t xml:space="preserve">TOPS SPECIALTY HOSPITAL, LTD-                                                  </t>
  </si>
  <si>
    <t>131043506</t>
  </si>
  <si>
    <t>1831160423</t>
  </si>
  <si>
    <t xml:space="preserve">SCENIC MOUNTAIN MEDICAL CENTER                    </t>
  </si>
  <si>
    <t>136381405</t>
  </si>
  <si>
    <t>1447259627</t>
  </si>
  <si>
    <t xml:space="preserve">TYLER COUNTY HOSPITAL                             </t>
  </si>
  <si>
    <t>137999206</t>
  </si>
  <si>
    <t>1821087164</t>
  </si>
  <si>
    <t xml:space="preserve">UNIVERSITY MEDICAL CENTER                         </t>
  </si>
  <si>
    <t>119877204</t>
  </si>
  <si>
    <t>1104830900</t>
  </si>
  <si>
    <t xml:space="preserve">VAL VERDE HOSPITAL CORPORATION-VAL VERDE REGIONAL MEDICAL CENTER                 </t>
  </si>
  <si>
    <t>294543801</t>
  </si>
  <si>
    <t>1184911877</t>
  </si>
  <si>
    <t xml:space="preserve">VHS BROWNSVILLE HOSPITAL COMPANY LLC-VALLEY BAPTIST MEDICAL CENTER BROWNSVILLE         </t>
  </si>
  <si>
    <t xml:space="preserve">TENET HOSPITALS LIMITED-THE HOSPITALS OF PROVIDENCE SIERRA CAMPUS         </t>
  </si>
  <si>
    <t>135235306</t>
  </si>
  <si>
    <t>1740273994</t>
  </si>
  <si>
    <t xml:space="preserve">ECTOR COUNTY HOSPITAL DISTRICT-MEDICAL CENTER HOSPITAL                           </t>
  </si>
  <si>
    <t>189791001</t>
  </si>
  <si>
    <t>1144225699</t>
  </si>
  <si>
    <t xml:space="preserve">WALKER COUNTY HOSPITAL CORPORATION-HUNTSVILLE MEMORIAL HOSPITAL                      </t>
  </si>
  <si>
    <t>385345901</t>
  </si>
  <si>
    <t>1417471467</t>
  </si>
  <si>
    <t xml:space="preserve">WEATHERFORD HEALTH SERVICES, LLC-                                                  </t>
  </si>
  <si>
    <t>135151206</t>
  </si>
  <si>
    <t>1871599829</t>
  </si>
  <si>
    <t xml:space="preserve">WILSON COUNTY MEMORIAL HOSPITAL DISTRICT-CONNALLY MEMORIAL MEDICAL CENTER                  </t>
  </si>
  <si>
    <t>148698701</t>
  </si>
  <si>
    <t>1295781227</t>
  </si>
  <si>
    <t xml:space="preserve">WINNIE COMMUNITY HOSPITAL LLC                     </t>
  </si>
  <si>
    <t>126667806</t>
  </si>
  <si>
    <t>1104842475</t>
  </si>
  <si>
    <t xml:space="preserve">W J MANGOLD MEMORIAL HOSPITAL                     </t>
  </si>
  <si>
    <t>094164302</t>
  </si>
  <si>
    <t>1487607792</t>
  </si>
  <si>
    <t xml:space="preserve">WOODLAND HEIGHTS MEDICAL CENTER                   </t>
  </si>
  <si>
    <t>112673204</t>
  </si>
  <si>
    <t>1881697878</t>
  </si>
  <si>
    <t xml:space="preserve">YOAKUM COMMUNITY HOSPITAL                         </t>
  </si>
  <si>
    <t>021302701</t>
  </si>
  <si>
    <t>1700937869</t>
  </si>
  <si>
    <t xml:space="preserve">ALTERNATIVES CENTRE FOR BEHA                      </t>
  </si>
  <si>
    <t>El Paso</t>
  </si>
  <si>
    <t>341779201</t>
  </si>
  <si>
    <t>1649504853</t>
  </si>
  <si>
    <t xml:space="preserve">DAY STARS INC-                                                  </t>
  </si>
  <si>
    <t>282960802</t>
  </si>
  <si>
    <t>1609008838</t>
  </si>
  <si>
    <t xml:space="preserve">ENLIGHTENED BEHAVIORAL HEALTH SYSTEMS LLC-                                                  </t>
  </si>
  <si>
    <t>343621401</t>
  </si>
  <si>
    <t>1467588319</t>
  </si>
  <si>
    <t xml:space="preserve">ER AMERICAN HEALTHCARE SERVICES, LLC-                                                  </t>
  </si>
  <si>
    <t>155006302</t>
  </si>
  <si>
    <t>1063522498</t>
  </si>
  <si>
    <t xml:space="preserve">HILL COUNTRY COUNSELING-HILL COUNTRY CONSELING                            </t>
  </si>
  <si>
    <t>Travis</t>
  </si>
  <si>
    <t>136141205</t>
  </si>
  <si>
    <t>1821011248</t>
  </si>
  <si>
    <t xml:space="preserve">BEXAR COUNTY HOSPITAL DISTRICT-UNIVERSITY HEALTH SYSTEM                          </t>
  </si>
  <si>
    <t>021367001</t>
  </si>
  <si>
    <t>1770887846</t>
  </si>
  <si>
    <t xml:space="preserve">POST OAKS CARE CENTER                             </t>
  </si>
  <si>
    <t>339420701</t>
  </si>
  <si>
    <t>1306146733</t>
  </si>
  <si>
    <t xml:space="preserve">AUDUBON BEHAVIORAL HEALTHCARE OF LONGVIEW LLC-OCEANS BEHAVIORAL HOSPITAL OF LONGVIEW            </t>
  </si>
  <si>
    <t>348183001</t>
  </si>
  <si>
    <t>1144625153</t>
  </si>
  <si>
    <t xml:space="preserve">AUSTIN BEHAVIORAL HOSPITAL LLC-CROSS CREEK HOSPITAL                              </t>
  </si>
  <si>
    <t>336658501</t>
  </si>
  <si>
    <t>1396184180</t>
  </si>
  <si>
    <t xml:space="preserve">BEHAVIORAL HEALTH CENTER OF THE PERMIAN BASIN LLC-OCEANS BEHAVIORAL HOSPITAL OF PERMIAN BASIN       </t>
  </si>
  <si>
    <t>217547301</t>
  </si>
  <si>
    <t>1093021719</t>
  </si>
  <si>
    <t xml:space="preserve">BEHAVIORAL HEALTH MANAGEMENT, LLC-                                                  </t>
  </si>
  <si>
    <t>314300001</t>
  </si>
  <si>
    <t>1134401466</t>
  </si>
  <si>
    <t xml:space="preserve">CARROLLTON SPRINGS LLC                            </t>
  </si>
  <si>
    <t xml:space="preserve">TEXAS HEALTH HARRIS METHODIST HOSPITAL HURST-EULES-                                                  </t>
  </si>
  <si>
    <t>136491104</t>
  </si>
  <si>
    <t>1912906298</t>
  </si>
  <si>
    <t xml:space="preserve">SOUTHWEST GENERAL HOSPITAL LP-SOUTHWEST GENERAL HOSPITAL                        </t>
  </si>
  <si>
    <t>315472601</t>
  </si>
  <si>
    <t>1962786608</t>
  </si>
  <si>
    <t xml:space="preserve">C &amp; I HOLDINGS LLC-LONE STAR BEHAVORIAL HEALTH                       </t>
  </si>
  <si>
    <t>021203701</t>
  </si>
  <si>
    <t>1730187568</t>
  </si>
  <si>
    <t xml:space="preserve">CYPRESS CREEK HOSPITAL INC                        </t>
  </si>
  <si>
    <t>333289201</t>
  </si>
  <si>
    <t>1457791105</t>
  </si>
  <si>
    <t xml:space="preserve">DALLAS BEHAVIORAL HEALTHCARE HOSPITAL LLC-                                                  </t>
  </si>
  <si>
    <t xml:space="preserve">SHANNON MEDICAL CENTER-SHANNON W TX MEM HOSP                             </t>
  </si>
  <si>
    <t>021214401</t>
  </si>
  <si>
    <t>1235212895</t>
  </si>
  <si>
    <t xml:space="preserve">DEVEREUX FOUNDATION-DEVEREUX-TEXAS TREATMENT                          </t>
  </si>
  <si>
    <t>359590201</t>
  </si>
  <si>
    <t>1649646415</t>
  </si>
  <si>
    <t xml:space="preserve">GARLAND BEHAVIORAL HOSPITAL                       </t>
  </si>
  <si>
    <t>345305201</t>
  </si>
  <si>
    <t>1275956807</t>
  </si>
  <si>
    <t xml:space="preserve">GEORGETOWN BEHAVIORAL HEALTH INSTITUTE, LLC-GEORGETOWN BEHAVIORAL HEALTH INSTITUTE LLC        </t>
  </si>
  <si>
    <t>112746602</t>
  </si>
  <si>
    <t>1922078815</t>
  </si>
  <si>
    <t xml:space="preserve">GLEN OAKS HOSPITAL INC-GLEN OAKS HOSPITAL                                </t>
  </si>
  <si>
    <t>021224301</t>
  </si>
  <si>
    <t>1831140698</t>
  </si>
  <si>
    <t xml:space="preserve">GREEN OAKS HOSPITAL SUBSIDIA                      </t>
  </si>
  <si>
    <t>355497401</t>
  </si>
  <si>
    <t>1780025148</t>
  </si>
  <si>
    <t xml:space="preserve">HAVEN BEHAVIORAL SERVICES OF FRISCO LLC-HAVEN BEHAVIORAL HOSPITAL OF FRISCO               </t>
  </si>
  <si>
    <t>184076101</t>
  </si>
  <si>
    <t>1205999232</t>
  </si>
  <si>
    <t xml:space="preserve">HICKORY TRAIL HOSPITAL LP                         </t>
  </si>
  <si>
    <t>021215104</t>
  </si>
  <si>
    <t>1689692402</t>
  </si>
  <si>
    <t xml:space="preserve">HMIH CEDAR CREST LLC-CEDAR CREST HOSPITAL                              </t>
  </si>
  <si>
    <t>192996002</t>
  </si>
  <si>
    <t>1962614834</t>
  </si>
  <si>
    <t xml:space="preserve">HORIZON HEALTH AUSTIN INC-AUSTIN LAKES HOSPITAL                             </t>
  </si>
  <si>
    <t>348990801</t>
  </si>
  <si>
    <t>1689098790</t>
  </si>
  <si>
    <t xml:space="preserve">HOUSTON BEHAVIORAL HEALTHCARE HOSPITAL, LLC-                                                  </t>
  </si>
  <si>
    <t>136492909</t>
  </si>
  <si>
    <t>1992708705</t>
  </si>
  <si>
    <t xml:space="preserve">NORTHWEST HEALTHCARE SYSTEM INC-NORTHWEST TEXAS-PSYC UNIT                         </t>
  </si>
  <si>
    <t>339487601</t>
  </si>
  <si>
    <t>1366880627</t>
  </si>
  <si>
    <t xml:space="preserve">MESA SPRINGS, LLC-                                                  </t>
  </si>
  <si>
    <t>021189801</t>
  </si>
  <si>
    <t>1023015120</t>
  </si>
  <si>
    <t xml:space="preserve">MILLWOOD HOSPITAL                                 </t>
  </si>
  <si>
    <t>1891789772</t>
  </si>
  <si>
    <t xml:space="preserve">SAN JACINTO METHODIST HOSPITAL-HOUSTON METHODIST SAN JACINTO HOSPITAL            </t>
  </si>
  <si>
    <t>138411709</t>
  </si>
  <si>
    <t>1720088123</t>
  </si>
  <si>
    <t xml:space="preserve">GUADALUPE COUNTY HOSPITAL BOARD-GUADALUPE REGIONAL MEDICAL CENTER                 </t>
  </si>
  <si>
    <t>333366801</t>
  </si>
  <si>
    <t>1750620456</t>
  </si>
  <si>
    <t xml:space="preserve">OCEANS BEHAVIORAL HOSPITAL OF ABILENE LLC-                                                  </t>
  </si>
  <si>
    <t>352075101</t>
  </si>
  <si>
    <t>1891193868</t>
  </si>
  <si>
    <t xml:space="preserve">OCEANS BEHAVIORAL HOSPITAL OF KATY LLC-                                                  </t>
  </si>
  <si>
    <t>138913209</t>
  </si>
  <si>
    <t>1174526529</t>
  </si>
  <si>
    <t xml:space="preserve">TITUS COUNTY MEM HOSP DIST-TITUS REGIONAL MEDICAL CENTER                     </t>
  </si>
  <si>
    <t>341027602</t>
  </si>
  <si>
    <t>1689004939</t>
  </si>
  <si>
    <t xml:space="preserve">OCEANS BEHAVORIAL HOSPITAL OF LUFKIN LLC-OCEANS BEHAVORIAL HOSPITAL OF LUFKIN              </t>
  </si>
  <si>
    <t>159156201</t>
  </si>
  <si>
    <t>1598744856</t>
  </si>
  <si>
    <t xml:space="preserve">VHS SAN ANTONIO PARTNERS LLC-BAPTIST MEDICAL CENTER                            </t>
  </si>
  <si>
    <t>210433301</t>
  </si>
  <si>
    <t>1427048743</t>
  </si>
  <si>
    <t xml:space="preserve">RED RIVER HOSPITAL LLC-RED RIVER HOSPITAL                                </t>
  </si>
  <si>
    <t>112745802</t>
  </si>
  <si>
    <t>1518937218</t>
  </si>
  <si>
    <t xml:space="preserve">RIVER CREST HOSPITAL                              </t>
  </si>
  <si>
    <t>339869503</t>
  </si>
  <si>
    <t>1184056954</t>
  </si>
  <si>
    <t xml:space="preserve">ROCK SPRINGS, LLC-                                                  </t>
  </si>
  <si>
    <t>349059101</t>
  </si>
  <si>
    <t>1871917971</t>
  </si>
  <si>
    <t xml:space="preserve">SAN ANTONIO BEHAVIORAL HEALTHCARE HOSPITAL, LLC-                                                  </t>
  </si>
  <si>
    <t>094382101</t>
  </si>
  <si>
    <t>1538264866</t>
  </si>
  <si>
    <t xml:space="preserve">SETON SHOAL CREEK HOSPITAL                        </t>
  </si>
  <si>
    <t>175965601</t>
  </si>
  <si>
    <t>1861598633</t>
  </si>
  <si>
    <t xml:space="preserve">SHC KPH LP-KINGWOOD PINES HOSPITAL                           </t>
  </si>
  <si>
    <t>160630301</t>
  </si>
  <si>
    <t>1942208616</t>
  </si>
  <si>
    <t xml:space="preserve">ST LUKES COMMUNITY HEALTH SERVICES-ST LUKES THE WOODLANDS HOSPITAL                   </t>
  </si>
  <si>
    <t>160709501</t>
  </si>
  <si>
    <t>1053317362</t>
  </si>
  <si>
    <t xml:space="preserve">DAY SURGERY AT RENAISSANCE LLC-DOCTORS HOSPITAL AT RENAISSANCE LTD               </t>
  </si>
  <si>
    <t>352273201</t>
  </si>
  <si>
    <t>1376954263</t>
  </si>
  <si>
    <t xml:space="preserve">SRP BEHAVIORAL HOSPITAL OF PLANO LLC-WELLBRIDGE HEALTHCARE OF PLANO                    </t>
  </si>
  <si>
    <t>351415002</t>
  </si>
  <si>
    <t>1447672910</t>
  </si>
  <si>
    <t xml:space="preserve">SRP OCEANS HOSPITAL OF FORTWORTH LLC-WELLBRIDGE HEALTHCARE OF FORT WORTH               </t>
  </si>
  <si>
    <t>362439701</t>
  </si>
  <si>
    <t>1184014433</t>
  </si>
  <si>
    <t xml:space="preserve">SRP OCEANS HOSPITAL OF SAN MARCOS LLC-WELLBRIDGE HEALTHCARE OF SAN MARCOS               </t>
  </si>
  <si>
    <t>371439601</t>
  </si>
  <si>
    <t>1154782548</t>
  </si>
  <si>
    <t xml:space="preserve">STRATEGIC BH-BROWNSVILLE, LLC-PALMS BEHAVIORAL HEALTH                           </t>
  </si>
  <si>
    <t>361635101</t>
  </si>
  <si>
    <t>1003282039</t>
  </si>
  <si>
    <t xml:space="preserve">SUN HOUSTON, LLC-                                                  </t>
  </si>
  <si>
    <t>163111101</t>
  </si>
  <si>
    <t>1063411767</t>
  </si>
  <si>
    <t xml:space="preserve">ESSENT PRMC LP-PARIS REGIONAL MEDICAL CENTER                     </t>
  </si>
  <si>
    <t>021240902</t>
  </si>
  <si>
    <t>1043280951</t>
  </si>
  <si>
    <t xml:space="preserve">TEXAS LAUREL RIDGE HOSPITAL LP-LAUREL RIDGE TREATMENT CENTER                     </t>
  </si>
  <si>
    <t>333086201</t>
  </si>
  <si>
    <t>1578809505</t>
  </si>
  <si>
    <t xml:space="preserve">TEXAS OAKS PSYCHIATRIC HOSPITAL LP-AUSTIN OAKS HOSPITAL                              </t>
  </si>
  <si>
    <t>177658501</t>
  </si>
  <si>
    <t>1851346407</t>
  </si>
  <si>
    <t xml:space="preserve">UHP LP                                            </t>
  </si>
  <si>
    <t>191968002</t>
  </si>
  <si>
    <t>1386779304</t>
  </si>
  <si>
    <t xml:space="preserve">UNIVERSITY BEHAVIORAL HEALTH OF EL PASO LLC       </t>
  </si>
  <si>
    <t xml:space="preserve">UNIVERSITY OF TEXAS SOUTHWESTERN MEDICAL CENTER AT-UT SOUTHWESTERN UNIVERSITY HOSPITAL  ZALE LIPSHY  </t>
  </si>
  <si>
    <t xml:space="preserve">UHS OF TEXOMA INC-REBA MCENTIRE CENTER FOR REHABILITATION           </t>
  </si>
  <si>
    <t>121829905</t>
  </si>
  <si>
    <t>1598764359</t>
  </si>
  <si>
    <t xml:space="preserve">WEST OAK HOSPITAL INC-TEXAS WEST OAKS HOSPITAL                          </t>
  </si>
  <si>
    <t>344854001</t>
  </si>
  <si>
    <t>1215354899</t>
  </si>
  <si>
    <t xml:space="preserve">WESTPARK SPRINGS LLC-                                                  </t>
  </si>
  <si>
    <t>1053778860</t>
  </si>
  <si>
    <t xml:space="preserve">VIBRA SPECIALTY HOSPITAL OF DALLAS LLC-VIBRA HOSPITAL OF RICHARDSON                      </t>
  </si>
  <si>
    <t xml:space="preserve">SHERMAN GRAYSON HOSPITAL LLC-SHERMAN GRAYSON HEALTH SYSTEM                     </t>
  </si>
  <si>
    <t>283280001</t>
  </si>
  <si>
    <t>1871898478</t>
  </si>
  <si>
    <t xml:space="preserve">MAYHILL BEHAVIORAL HEALTH LLC-                                                  </t>
  </si>
  <si>
    <t>Tarrant</t>
  </si>
  <si>
    <t>288563403</t>
  </si>
  <si>
    <t>1285930891</t>
  </si>
  <si>
    <t xml:space="preserve">BAYLOR INSTITUTE FOR REHABILITATION AT FRISCO-                                                  </t>
  </si>
  <si>
    <t>292096901</t>
  </si>
  <si>
    <t>1154618742</t>
  </si>
  <si>
    <t xml:space="preserve">VHS HARLINGEN HOSPITAL COMPANY LLC-                                                  </t>
  </si>
  <si>
    <t>112721903</t>
  </si>
  <si>
    <t>1538465901</t>
  </si>
  <si>
    <t xml:space="preserve">BIR JV LLP-BAYLOR INSTITUTE FOR REHABILITATION               </t>
  </si>
  <si>
    <t>308032701</t>
  </si>
  <si>
    <t>1386902138</t>
  </si>
  <si>
    <t xml:space="preserve">PRIME HEALTHCARE SERVICES PAMPA LLC-PAMPA REGIONAL MEDICAL CENTER                     </t>
  </si>
  <si>
    <t>190809701</t>
  </si>
  <si>
    <t>1609091693</t>
  </si>
  <si>
    <t xml:space="preserve">CENTRAL TEXAS REHABILITATION HOSPITAL LLC-CENTRAL TEXAS REHABILITATION HOSPITAL             </t>
  </si>
  <si>
    <t>094353202</t>
  </si>
  <si>
    <t>1467453902</t>
  </si>
  <si>
    <t xml:space="preserve">CHRISTUS HEALTH ARK LA TEX-CHRISTUS ST MICHAEL REHABILITATION HOSPITAL       </t>
  </si>
  <si>
    <t>396546901</t>
  </si>
  <si>
    <t>BIR JV LLP-BAYLOR SCOTT AND WHITE INSTITUTE FOR REHABILITATIO</t>
  </si>
  <si>
    <t>354076701</t>
  </si>
  <si>
    <t>1861882532</t>
  </si>
  <si>
    <t xml:space="preserve">CLEAR LAKE INSTITUTE FOR REHABILITATION, LLC-PAM REHABILITATION HOSPITAL OF CLEAR LAKE         </t>
  </si>
  <si>
    <t>179322602</t>
  </si>
  <si>
    <t>1972540417</t>
  </si>
  <si>
    <t xml:space="preserve">CLEAR LAKE REHABILITATION HOSPITAL LLC-KINDRED REHABILIT HOSPITAL CLEAR LAKE             </t>
  </si>
  <si>
    <t>094349003</t>
  </si>
  <si>
    <t>1689648339</t>
  </si>
  <si>
    <t>CMS REHAB OF WF LP-ENCOMPASS HEALTH REHABILITATION HOSPITAL OF WICHIT</t>
  </si>
  <si>
    <t>344945603</t>
  </si>
  <si>
    <t>1821439183</t>
  </si>
  <si>
    <t xml:space="preserve">CORPUS CHRISTI REHABILITATION HOSPITAL LLC        </t>
  </si>
  <si>
    <t>1952784985</t>
  </si>
  <si>
    <t xml:space="preserve">COVENANT REHABILITATION HOSPITAL OF LUBBOCK LLC-TRUSTPOINT REHABILITATION HOSPITAL OF LUBBOCK     </t>
  </si>
  <si>
    <t>365612601</t>
  </si>
  <si>
    <t>1114340080</t>
  </si>
  <si>
    <t xml:space="preserve">ASPIRE HOSPITAL LLC                               </t>
  </si>
  <si>
    <t>312476002</t>
  </si>
  <si>
    <t>1396902540</t>
  </si>
  <si>
    <t xml:space="preserve">GLOBALREHAB FORT WORTH, LP-                                                  </t>
  </si>
  <si>
    <t>349912101</t>
  </si>
  <si>
    <t>1568695146</t>
  </si>
  <si>
    <t xml:space="preserve">GLOBALREHAB SAN ANTONIO LP-SELECT REHABILITATION HOSPITAL OF SAN ANTONIO     </t>
  </si>
  <si>
    <t>377705401</t>
  </si>
  <si>
    <t>199329702</t>
  </si>
  <si>
    <t>1699749341</t>
  </si>
  <si>
    <t>HEALTH SOUTH CITY VIEW REHABILITATION HOSPITAL-ENCOMPASS HEALTH REHABILITATION HOSPITAL OF CITY V</t>
  </si>
  <si>
    <t>094347402</t>
  </si>
  <si>
    <t>1144294893</t>
  </si>
  <si>
    <t xml:space="preserve">HEALTHSOUTH PLANO REHABILITATION HOSPITAL LLC-HEALTHSOUTH PLANO REHABILITATION HOSPITAL         </t>
  </si>
  <si>
    <t>309446801</t>
  </si>
  <si>
    <t>1548546088</t>
  </si>
  <si>
    <t xml:space="preserve">HEALTHSOUTH REHAB  HOSPITAL OF SOUTH AUSTIN LLC-HEALTHSOUTH REHABILITATION  HOSPITAL OF AUSTIN    </t>
  </si>
  <si>
    <t>288662403</t>
  </si>
  <si>
    <t>1427374222</t>
  </si>
  <si>
    <t xml:space="preserve">HEALTHSOUTH REHAB HOSPITAL OF THE MID-CITIES LLC-RELIANT REHABILITATION HOSPITAL MID CITIES        </t>
  </si>
  <si>
    <t>021173202</t>
  </si>
  <si>
    <t>1821062050</t>
  </si>
  <si>
    <t xml:space="preserve">HEALTHSOUTH REHABILIATION HOSPITAL OF ARLINGTON   </t>
  </si>
  <si>
    <t>094351601</t>
  </si>
  <si>
    <t>1821061532</t>
  </si>
  <si>
    <t>HEALTHSOUTH REHABILITATION-ENCOMPASS HEALTH  REHABILITATION HOSPITAL OF MIDLA</t>
  </si>
  <si>
    <t>209804801</t>
  </si>
  <si>
    <t>1477731156</t>
  </si>
  <si>
    <t>HEALTHSOUTH REHABILITATION HOSPITAL NORTH HOUSTON-ENCOMPASS HEALTH REHABILITATION HOSPITAL VISION PA</t>
  </si>
  <si>
    <t>313188001</t>
  </si>
  <si>
    <t>1659539567</t>
  </si>
  <si>
    <t xml:space="preserve">HEALTHSOUTH REHABILITATION HOSPITAL OF ABILENE LLC-HEALTHSOUTH REHABILITATION HOSPITAL OF ABILENE    </t>
  </si>
  <si>
    <t>301006801</t>
  </si>
  <si>
    <t>1275813610</t>
  </si>
  <si>
    <t xml:space="preserve">HEALTHSOUTH REHABILITATION HOSPITAL OF CYPRESS LLC-                                                  </t>
  </si>
  <si>
    <t>314562501</t>
  </si>
  <si>
    <t>1982920773</t>
  </si>
  <si>
    <t xml:space="preserve">HEALTHSOUTH REHABILITATION HOSPITAL OF DALLAS LLC-HEALTHSOUTH REHABILITATION HOSPITAL OF DALLAS     </t>
  </si>
  <si>
    <t>337018101</t>
  </si>
  <si>
    <t>1366871600</t>
  </si>
  <si>
    <t xml:space="preserve">HEALTH SOUTH REHABILITATION HOSPITAL OF HUMBLE-                                                  </t>
  </si>
  <si>
    <t>1750655833</t>
  </si>
  <si>
    <t>199238002</t>
  </si>
  <si>
    <t>1720279342</t>
  </si>
  <si>
    <t xml:space="preserve">HEALTHSOUTH REHABILITATION HOSPITAL OF RICHARDSON </t>
  </si>
  <si>
    <t>209190201</t>
  </si>
  <si>
    <t>1245422567</t>
  </si>
  <si>
    <t xml:space="preserve">HEALTHSOUTH REHABILITATION HOSPITAL OF ROUND ROCK </t>
  </si>
  <si>
    <t>219907701</t>
  </si>
  <si>
    <t>1518287721</t>
  </si>
  <si>
    <t xml:space="preserve">HEALTHSOUTH REHABILITATION HOSPITAL OF SUGAR LAND-HEALTHSOUTH SUGAR LAND REHABILITATION HOSPITAL    </t>
  </si>
  <si>
    <t>315341301</t>
  </si>
  <si>
    <t>1376829812</t>
  </si>
  <si>
    <t xml:space="preserve">HEALTHSOUTH REHABILITATION HOSPITAL OF VINTAGE PAR-HEALTHSOUTH REHABILITATION HOSPITAL THE VINTAGE   </t>
  </si>
  <si>
    <t>094352403</t>
  </si>
  <si>
    <t>1194798801</t>
  </si>
  <si>
    <t xml:space="preserve">HEALTHSOUTH REHABILITATION  HOSPITAL THE WOODLANDS-ENCOMPASS HEALTH REHABILITATION HOSPITAL OF THE W </t>
  </si>
  <si>
    <t>021175701</t>
  </si>
  <si>
    <t>1649243353</t>
  </si>
  <si>
    <t>HEALTHSOUTH REHABILITATION OF TEXARKANA INC-ENCOMPASS HEALTH REHABILITATION HOSPITAL OF TEXARK</t>
  </si>
  <si>
    <t>021168201</t>
  </si>
  <si>
    <t>1548233265</t>
  </si>
  <si>
    <t>HEALTHSOUTH REHAB INSTITUTUE OF SAN ANTONIO RIOSA-ENCOMPASS HEALTH REHABILITATION HOSPITAL OF SAN AN</t>
  </si>
  <si>
    <t>382091201</t>
  </si>
  <si>
    <t>1144756578</t>
  </si>
  <si>
    <t>HEALTHSOUTH REHABILITATION HOSPITAL OF PEARLAND LL-HEALTHSOUTH REHABILITATION OF HOSPITAL OF PEARLAND</t>
  </si>
  <si>
    <t>350658601</t>
  </si>
  <si>
    <t>1710389929</t>
  </si>
  <si>
    <t xml:space="preserve">LAREDO REHABILITATION HOSPITAL LLC-                                                  </t>
  </si>
  <si>
    <t>395486901</t>
  </si>
  <si>
    <t>1346729159</t>
  </si>
  <si>
    <t>BAYLOR SCOTT &amp; WHITE MEDICAL CENTERS - CAPITOL ARE-BAYLOR SCOTT &amp; WHITE MEDICAL CENTER - PFLUGERVILLE</t>
  </si>
  <si>
    <t>220238402</t>
  </si>
  <si>
    <t>1043457583</t>
  </si>
  <si>
    <t xml:space="preserve">MEMORIAL HERMANN REHABILITATION HOSPITAL KATY-                                                  </t>
  </si>
  <si>
    <t>391576104</t>
  </si>
  <si>
    <t>1114435260</t>
  </si>
  <si>
    <t>Rural Private</t>
  </si>
  <si>
    <t>1285699835</t>
  </si>
  <si>
    <t>291429301</t>
  </si>
  <si>
    <t>1801191853</t>
  </si>
  <si>
    <t xml:space="preserve">NEW BRAUNFELS REG REHAB HOSP INC-                                                  </t>
  </si>
  <si>
    <t>133252009</t>
  </si>
  <si>
    <t>1992285282</t>
  </si>
  <si>
    <t>MRSA Central</t>
  </si>
  <si>
    <t>367514201</t>
  </si>
  <si>
    <t>1831550680</t>
  </si>
  <si>
    <t xml:space="preserve">PAM SQUARED AT BEAUMONT, LLC-                                                  </t>
  </si>
  <si>
    <t>388635001</t>
  </si>
  <si>
    <t>1013085083</t>
  </si>
  <si>
    <t>325177904</t>
  </si>
  <si>
    <t>1043552177</t>
  </si>
  <si>
    <t xml:space="preserve">POST ACUTE MEDICAL AT ALLEN LLC-PAM REHABILITATION HOSPITAL OF ALLEN              </t>
  </si>
  <si>
    <t>400811201</t>
  </si>
  <si>
    <t>1346724879</t>
  </si>
  <si>
    <t>212203801</t>
  </si>
  <si>
    <t>1770740359</t>
  </si>
  <si>
    <t xml:space="preserve">REHABILIATION INSTITUTE OF DENTON LLC-SELELCT REHABILITATIOIN HOSPITAL OF DENTON        </t>
  </si>
  <si>
    <t>389645801</t>
  </si>
  <si>
    <t>1174021695</t>
  </si>
  <si>
    <t xml:space="preserve">REHABILITATION HOSPITAL LLC-UT HEALTH EAST TEXAS REHABILITATION HOSPITAL      </t>
  </si>
  <si>
    <t>218868201</t>
  </si>
  <si>
    <t>1922321447</t>
  </si>
  <si>
    <t xml:space="preserve">REHABILITATION HOSPITAL OF MESQUITE LLC-MESQUITE REHABILITATION INSTITUTE                 </t>
  </si>
  <si>
    <t>399761101</t>
  </si>
  <si>
    <t>1790252674</t>
  </si>
  <si>
    <t>173995503</t>
  </si>
  <si>
    <t>1093712697</t>
  </si>
  <si>
    <t xml:space="preserve">SOUTH TEXAS REHABILITATION HOSPITAL LP-                                                  </t>
  </si>
  <si>
    <t>368423501</t>
  </si>
  <si>
    <t>1932573417</t>
  </si>
  <si>
    <t xml:space="preserve">ST JOSEPH HEALTHSOUTH REHABILITATION HOSPITAL LLC-CHI ST JOSEPH REHABILITATION HOSPITAL             </t>
  </si>
  <si>
    <t>Hidalgo</t>
  </si>
  <si>
    <t>391264401</t>
  </si>
  <si>
    <t>1740791748</t>
  </si>
  <si>
    <t>1114493830</t>
  </si>
  <si>
    <t>184505902</t>
  </si>
  <si>
    <t>1316911068</t>
  </si>
  <si>
    <t>TRINITY MOTHER FRANCES REHABILITATION HOSPITAL-CHRISTUS TRINITY MOTHER FRANCES REHABILITATION HOS</t>
  </si>
  <si>
    <t>322878502</t>
  </si>
  <si>
    <t>1417225434</t>
  </si>
  <si>
    <t xml:space="preserve">TRIUMPH REHABILIATION HOSPITAL OF NORTHEAST HOUSTO-KINDRED REHABILITATION HOSPITAL NORTHEAST HOUSTON </t>
  </si>
  <si>
    <t>398846101</t>
  </si>
  <si>
    <t>1619476926</t>
  </si>
  <si>
    <t>Lubbock</t>
  </si>
  <si>
    <t>395270701</t>
  </si>
  <si>
    <t>1427506385</t>
  </si>
  <si>
    <t>334224803</t>
  </si>
  <si>
    <t>1750713012</t>
  </si>
  <si>
    <t xml:space="preserve">VIBRA REHABILITATION HOSPITAL OF AMARILLO LLC-VIBRA REHABILITATION HOSPITAL OF AMARILLO         </t>
  </si>
  <si>
    <t>1740693316</t>
  </si>
  <si>
    <t xml:space="preserve">VIBRA REHABILITATION HOSPITAL OF EL PASO, LLC-HIGHLANDS REHABILITATION HOSPITAL                 </t>
  </si>
  <si>
    <t>386625301</t>
  </si>
  <si>
    <t>1003340639</t>
  </si>
  <si>
    <t>347731701</t>
  </si>
  <si>
    <t>1861818809</t>
  </si>
  <si>
    <t xml:space="preserve">WARM SPRINGS REHABILITATION HOSPITAL OF KYLE LLC-                                                  </t>
  </si>
  <si>
    <t>350452401</t>
  </si>
  <si>
    <t>1073952339</t>
  </si>
  <si>
    <t xml:space="preserve">WARM SPRINGS REHABILITATION HOSPITAL OF VICTORIA L-PAM REHABILITATION HOSPITAL OF VICTORIA           </t>
  </si>
  <si>
    <t>350453201</t>
  </si>
  <si>
    <t>1538551791</t>
  </si>
  <si>
    <t xml:space="preserve">WESLACO REGIONAL REHABILITATION HOSPITAL, LLC-                                                  </t>
  </si>
  <si>
    <t>Rural Public</t>
  </si>
  <si>
    <t>169553801</t>
  </si>
  <si>
    <t>Children's</t>
  </si>
  <si>
    <t>Nueces</t>
  </si>
  <si>
    <t>020943901</t>
  </si>
  <si>
    <t>Jefferson</t>
  </si>
  <si>
    <t>094113001</t>
  </si>
  <si>
    <t>094118902</t>
  </si>
  <si>
    <t>Non-Urban Public</t>
  </si>
  <si>
    <t>Urban Public</t>
  </si>
  <si>
    <t>121775403</t>
  </si>
  <si>
    <t>121789503</t>
  </si>
  <si>
    <t>121816602</t>
  </si>
  <si>
    <t>127295703</t>
  </si>
  <si>
    <t>130601104</t>
  </si>
  <si>
    <t>133245406</t>
  </si>
  <si>
    <t>136326908</t>
  </si>
  <si>
    <t>137226005</t>
  </si>
  <si>
    <t>137245009</t>
  </si>
  <si>
    <t>137962006</t>
  </si>
  <si>
    <t>175289101</t>
  </si>
  <si>
    <t>194997601</t>
  </si>
  <si>
    <t>197976701</t>
  </si>
  <si>
    <t>220351501</t>
  </si>
  <si>
    <t>347495902</t>
  </si>
  <si>
    <t>358006001</t>
  </si>
  <si>
    <t xml:space="preserve">357697701 </t>
  </si>
  <si>
    <t>YOAKUM COMMUNITY HOSPITAL</t>
  </si>
  <si>
    <t>WOODLAND HEIGHTS MEDICAL CENTER</t>
  </si>
  <si>
    <t>WINNIE COMMUNITY HOSPITAL LLC</t>
  </si>
  <si>
    <t>W J MANGOLD MEMORIAL HOSPITAL</t>
  </si>
  <si>
    <t>USMD HOSPITAL AT FORT WORTH LP</t>
  </si>
  <si>
    <t>198248001</t>
  </si>
  <si>
    <t>1568656502</t>
  </si>
  <si>
    <t>USMD HOSPITAL AT ARLINGTON LP</t>
  </si>
  <si>
    <t>094212002</t>
  </si>
  <si>
    <t>1538117452</t>
  </si>
  <si>
    <t>State-owned</t>
  </si>
  <si>
    <t>1417010653</t>
  </si>
  <si>
    <t>094092602</t>
  </si>
  <si>
    <t>1548226988</t>
  </si>
  <si>
    <t>127278304</t>
  </si>
  <si>
    <t>1417941295</t>
  </si>
  <si>
    <t>UNIVERSITY MEDICAL CENTER</t>
  </si>
  <si>
    <t>UNITED REGIONAL HEALTHCARE</t>
  </si>
  <si>
    <t>1851390967</t>
  </si>
  <si>
    <t>TYLER COUNTY HOSPITAL</t>
  </si>
  <si>
    <t>THE METHODIST HOSPITAL</t>
  </si>
  <si>
    <t>TEXAS SPINE AND JOINT HOSPITAL LTD</t>
  </si>
  <si>
    <t>Childrens</t>
  </si>
  <si>
    <t>TEXAS HEALTH HARRIS METHODIST HOSPITAL HURST EULES</t>
  </si>
  <si>
    <t>1104845015</t>
  </si>
  <si>
    <t>371495801</t>
  </si>
  <si>
    <t>1720474919</t>
  </si>
  <si>
    <t>TEXAS CHILDRENS HOSPITAL</t>
  </si>
  <si>
    <t>1700801909</t>
  </si>
  <si>
    <t>SWEENY COMMUNITY HOSPITAL</t>
  </si>
  <si>
    <t>STEPHENS MEMORIAL HOSPITAL</t>
  </si>
  <si>
    <t>337991901</t>
  </si>
  <si>
    <t>1285065623</t>
  </si>
  <si>
    <t>STARR COUNTY MEMORIAL HOSPITAL</t>
  </si>
  <si>
    <t>126842708</t>
  </si>
  <si>
    <t>1649224825</t>
  </si>
  <si>
    <t>ST MARKS MEDICAL CENTER</t>
  </si>
  <si>
    <t>ST LUKES HOSPITAL AT THE VINTAGE</t>
  </si>
  <si>
    <t>339153401</t>
  </si>
  <si>
    <t>1710314141</t>
  </si>
  <si>
    <t>SOUTH TEXAS HEALTH SYSTEM</t>
  </si>
  <si>
    <t>1770573586</t>
  </si>
  <si>
    <t>181706601</t>
  </si>
  <si>
    <t>1154361475</t>
  </si>
  <si>
    <t>1215969787</t>
  </si>
  <si>
    <t>1013957836</t>
  </si>
  <si>
    <t>SHANNON MEDICAL CENTER</t>
  </si>
  <si>
    <t>1992707228</t>
  </si>
  <si>
    <t>SHAMROCK GENERAL HOSPITAL</t>
  </si>
  <si>
    <t>286326801</t>
  </si>
  <si>
    <t>1154612638</t>
  </si>
  <si>
    <t>SCENIC MOUNTAIN MEDICAL CENTER</t>
  </si>
  <si>
    <t>SAN ANGELO COMMUNITY MEDICAL CENTER</t>
  </si>
  <si>
    <t>SAINT JOSEPH REGIONAL HEALTH CENTER</t>
  </si>
  <si>
    <t>ROLLING PLAINS MEMORIAL HOSPITAL</t>
  </si>
  <si>
    <t>183086102</t>
  </si>
  <si>
    <t>1306933692</t>
  </si>
  <si>
    <t>REFUGIO COUNTY MEMORIAL HOSPITAL DISTRICT</t>
  </si>
  <si>
    <t>REEVES COUNTY HOSPITAL DISTRICT</t>
  </si>
  <si>
    <t>PROVIDENCE HOSPITAL OF NORTH HOUSTON LLC</t>
  </si>
  <si>
    <t>370663201</t>
  </si>
  <si>
    <t>1467836841</t>
  </si>
  <si>
    <t>PROMISE HOSPITAL OF WICHITA FALLS INC</t>
  </si>
  <si>
    <t>339884401</t>
  </si>
  <si>
    <t>1346671849</t>
  </si>
  <si>
    <t>PECOS COUNTY MEMORIAL HOSPITAL</t>
  </si>
  <si>
    <t>PARMER COUNTY COMMUNITY HOSPITAL</t>
  </si>
  <si>
    <t>PARKVIEW REGIONAL HOSPITAL</t>
  </si>
  <si>
    <t>PARKLAND MEMORIAL HOSPITAL</t>
  </si>
  <si>
    <t>1932123247</t>
  </si>
  <si>
    <t>PALO PINTO GENERAL HOSPITAL</t>
  </si>
  <si>
    <t>1164510673</t>
  </si>
  <si>
    <t>PALACIOS COMMUNITY MEDICAL CENTER</t>
  </si>
  <si>
    <t>OCHILTREE GENERAL HOSPITAL</t>
  </si>
  <si>
    <t>1467442418</t>
  </si>
  <si>
    <t>1750819025</t>
  </si>
  <si>
    <t>NIX HOSPITALS SYSTEM LLC</t>
  </si>
  <si>
    <t>297342201</t>
  </si>
  <si>
    <t>1801168190</t>
  </si>
  <si>
    <t>NEW LIFECARE HOSPITALS OF NORTH TEXAS LLC</t>
  </si>
  <si>
    <t>331172201</t>
  </si>
  <si>
    <t>1023451077</t>
  </si>
  <si>
    <t>NAVARRO REGIONAL HOSPITAL</t>
  </si>
  <si>
    <t>NACOGDOCHES MEDICAL CENTER</t>
  </si>
  <si>
    <t>MOTHER FRANCES HOSPITAL WINNSBORO</t>
  </si>
  <si>
    <t>MOTHER FRANCES HOSPITAL JACKSONVILLE</t>
  </si>
  <si>
    <t>METHODIST HOSPITAL</t>
  </si>
  <si>
    <t>MEMORIAL MEDICAL CENTER SAN AUGUSTINE</t>
  </si>
  <si>
    <t>MEMORIAL MEDICAL CENTER</t>
  </si>
  <si>
    <t>MEMORIAL HERMANN SPECIALTY HOSPITAL KINGWOOD LLC</t>
  </si>
  <si>
    <t>337433201</t>
  </si>
  <si>
    <t>1710985098</t>
  </si>
  <si>
    <t>MCCAMEY HOSPITAL</t>
  </si>
  <si>
    <t>MARTIN COUNTY HOSPITAL DISTRICT</t>
  </si>
  <si>
    <t>MADISON ST JOSEPH HEALTH CENTER</t>
  </si>
  <si>
    <t>LITTLE RIVER HEALTHCARE CAMERON HOSPITAL</t>
  </si>
  <si>
    <t>342027501</t>
  </si>
  <si>
    <t>1619303641</t>
  </si>
  <si>
    <t>LIMESTONE MEDICAL CENTER</t>
  </si>
  <si>
    <t>LAREDO MEDICAL CENTER</t>
  </si>
  <si>
    <t>LAMB HEALTHCARE CENTER</t>
  </si>
  <si>
    <t>LAKE GRANBURY MEDICAL CENTER</t>
  </si>
  <si>
    <t>KNAPP MEDICAL CENTER</t>
  </si>
  <si>
    <t>HENDRICK MEDICAL CENTER</t>
  </si>
  <si>
    <t>HEMPHILL COUNTY HOSPITAL</t>
  </si>
  <si>
    <t>HEALTHSOUTH REHABILITATION HOSPITAL OF ROUND ROCK</t>
  </si>
  <si>
    <t>HEALTHSOUTH REHABILITATION HOSPITAL OF RICHARDSON</t>
  </si>
  <si>
    <t>HEALTHSOUTH REHABILIATION HOSPITAL OF ARLINGTON</t>
  </si>
  <si>
    <t>HARRIS COUNTY HOSPITAL DISTRICT</t>
  </si>
  <si>
    <t>HARDEMAN COUNTY MEMORIAL HOSPITAL</t>
  </si>
  <si>
    <t>094131202</t>
  </si>
  <si>
    <t>1396739710</t>
  </si>
  <si>
    <t>HAMILTON HOSPITAL</t>
  </si>
  <si>
    <t>GRIMES ST JOSEPH HEALTH CENTER</t>
  </si>
  <si>
    <t>1962455832</t>
  </si>
  <si>
    <t>094095902</t>
  </si>
  <si>
    <t>1689663007</t>
  </si>
  <si>
    <t>FIRST TEXAS HOSPITAL CARROLLTON LLC</t>
  </si>
  <si>
    <t>354160901</t>
  </si>
  <si>
    <t>1336533595</t>
  </si>
  <si>
    <t>FALLS COMMUNITY HOSPITAL AND CLINIC</t>
  </si>
  <si>
    <t>148322401</t>
  </si>
  <si>
    <t>1366427130</t>
  </si>
  <si>
    <t>EL CAMPO MEMORIAL HOSPITAL</t>
  </si>
  <si>
    <t>DRISCOLL CHILDRENS HOSPITAL</t>
  </si>
  <si>
    <t>1851343909</t>
  </si>
  <si>
    <t>CUERO COMMUNITY HOSPITAL</t>
  </si>
  <si>
    <t>CROSBYTON CLINIC HOSPITAL</t>
  </si>
  <si>
    <t>1518348747</t>
  </si>
  <si>
    <t>CORPUS CHRISTI REHABILITATION HOSPITAL LLC</t>
  </si>
  <si>
    <t>CORNERSTONE REGIONAL HOSPITAL</t>
  </si>
  <si>
    <t>COON MEMORIAL HOSPITAL</t>
  </si>
  <si>
    <t>CONCHO COUNTY HOSPITAL</t>
  </si>
  <si>
    <t>281406304</t>
  </si>
  <si>
    <t>1346544616</t>
  </si>
  <si>
    <t>COLLEGE STATION MEDICAL CENTER</t>
  </si>
  <si>
    <t>020860501</t>
  </si>
  <si>
    <t>1467403477</t>
  </si>
  <si>
    <t>CLAY COUNTY MEMORIAL HOSPITAL</t>
  </si>
  <si>
    <t>1689641680</t>
  </si>
  <si>
    <t>CEDAR PARK REGIONAL MEDICAL CENTER</t>
  </si>
  <si>
    <t>BROWNWOOD REGIONAL MEDICAL CENTER</t>
  </si>
  <si>
    <t>BIG BEND REGIONAL MEDICAL CENTER</t>
  </si>
  <si>
    <t>BAYLOR UNIVERSITY MEDICAL CENTER</t>
  </si>
  <si>
    <t>BAYLOR MEDICAL CENTER AT WAXAHACHIE</t>
  </si>
  <si>
    <t>BAYLOR HEART AND VASCULAR CENTER</t>
  </si>
  <si>
    <t>BALLINGER MEMORIAL HOSPITAL</t>
  </si>
  <si>
    <t>ASPIRE HOSPITAL LLC</t>
  </si>
  <si>
    <t>ARISE HEALTHCARE SYSTEM LLC</t>
  </si>
  <si>
    <t>334284201</t>
  </si>
  <si>
    <t>1295173664</t>
  </si>
  <si>
    <t>ANDREWS COUNTY HOSPITAL DISTRICT</t>
  </si>
  <si>
    <t>1821009242</t>
  </si>
  <si>
    <t>ABILENE REGIONAL MEDICAL CENTER</t>
  </si>
  <si>
    <t>ASPIRE HOSPITAL, LLC</t>
  </si>
  <si>
    <t>1144566316</t>
  </si>
  <si>
    <t>325449201</t>
  </si>
  <si>
    <t>1548269590</t>
  </si>
  <si>
    <t>154632701</t>
  </si>
  <si>
    <t>CHILLICOTHE HOSPITAL DISTRICT</t>
  </si>
  <si>
    <t>COCHRAN MEMORIAL HOSPITAL</t>
  </si>
  <si>
    <t>DALLAS MEDICAL CENTER</t>
  </si>
  <si>
    <t>1952732653</t>
  </si>
  <si>
    <t>343799801</t>
  </si>
  <si>
    <t>HASKELL MEMORIAL HOSPITAL</t>
  </si>
  <si>
    <t>HOUSTON HOSPITAL FOR SPECIALIZED SURGERY</t>
  </si>
  <si>
    <t>LAVACA MEDICAL CENTER</t>
  </si>
  <si>
    <t>METHODIST MCKINNEY HOSPITAL LLC</t>
  </si>
  <si>
    <t>NORTH CENTRAL SURGICAL CENTER LLP</t>
  </si>
  <si>
    <t>1659374585</t>
  </si>
  <si>
    <t>343467201</t>
  </si>
  <si>
    <t>PINE CREEK MEDICAL CENTER, LLC</t>
  </si>
  <si>
    <t>1881697316</t>
  </si>
  <si>
    <t>121806703</t>
  </si>
  <si>
    <t>SHRINERS HOSPITAL FOR CHILDREN-</t>
  </si>
  <si>
    <t>TROPHY CLUB MEDICAL CENTER LP</t>
  </si>
  <si>
    <t>VHS HARLINGEN HOSPITAL COMPANY LLC-</t>
  </si>
  <si>
    <t>378081901</t>
  </si>
  <si>
    <t>1669821161</t>
  </si>
  <si>
    <t>211454803</t>
  </si>
  <si>
    <t>1548495740</t>
  </si>
  <si>
    <t>338014903</t>
  </si>
  <si>
    <t>1568885549</t>
  </si>
  <si>
    <t>Master NPI</t>
  </si>
  <si>
    <t>SAINT JOSEPH MEDICAL CENTER</t>
  </si>
  <si>
    <t>TIRR MEMORIAL HERMANN</t>
  </si>
  <si>
    <t>SAINT LUKE'S AT VINTAGE</t>
  </si>
  <si>
    <t>PROVIDENCE HOSPITAL OF NORTH HOUSTON</t>
  </si>
  <si>
    <t>COMANCHE COUNTY MEDICAL CENTER COMPANY-COMANCHE COUNTY MEDICAL CENTER</t>
  </si>
  <si>
    <t>CHRISTUS CONTINUING CARE</t>
  </si>
  <si>
    <t>REAGAN HOSPITAL DISTRICT-REAGAN MEMORIAL HOSPITAL</t>
  </si>
  <si>
    <t>SETON FAMILY OF HOSPITALS-SETON SMITHVILLE REGIONAL HOSPITAL</t>
  </si>
  <si>
    <t>ROCK PRAIRIE BEHAVIORAL HEALTH</t>
  </si>
  <si>
    <t>SCOTT AND WHITE HOSPITAL TAYLOR-BAYLOR SCOTT AND WHITE MEDICAL CENTER TAYLOR</t>
  </si>
  <si>
    <t>SCOTT &amp; WHITE HOSPITAL-MARBLE FALLS-BAYLOR SCOTT &amp; WHITE MEDICAL CENTER-MARBLE FALLS</t>
  </si>
  <si>
    <t>SETON FAMILY OF HOSPITALS-ASCENSION SETON EDGAR B DAVIS</t>
  </si>
  <si>
    <t>POST ACUTE MEDICAL AT LULING LLC-WARM SPRINGS SPECIALTY HOSPITAL OF LULING LLC</t>
  </si>
  <si>
    <t>SETON FAMILY OF HOSPITALS-SETON HIGHLAND LAKES</t>
  </si>
  <si>
    <t>CHG HOSPITAL AUSTIN LLC-CORNERSTONE SPECIALTY HOSPITALS AUSTIN</t>
  </si>
  <si>
    <t>WARM SPRINGS REHABILITATION HOSPITAL OF KYLE LLC-</t>
  </si>
  <si>
    <t>ADVENTIST HEALTH SYSTEM SUNBELT INC-CENTRAL TEXASMEDICAL CENTER</t>
  </si>
  <si>
    <t>NEURO INSTITUTE OF AUSTIN LP-TEXAS NEUROREHAB CENTER</t>
  </si>
  <si>
    <t>SETON FAMILY OF HOSPITALS-SETON SOUTHWEST HOSPITAL</t>
  </si>
  <si>
    <t>ST DAVIDS COMMUNITY HOSPITAL-ST DAVIDS MEDICAL CENTER</t>
  </si>
  <si>
    <t>ST DAVIDS HEALTHCARE PARTNERSHIP LP LLP-SOUTH AUSTIN HOSPITAL</t>
  </si>
  <si>
    <t>ST DAVIDS HEALTHCARE PARTNERSHIP LP LLP-ROUND ROCK MEDICAL CENTER</t>
  </si>
  <si>
    <t>ST DAVID'S HEALTHCARE PARTNERSHIP LP LLP-ST DAVID'S NORTH AUSTIN MEDICAL CENTER</t>
  </si>
  <si>
    <t>SETON FAMILY OF HOSPITALS-SETON MEDICAL CENTER HAYS</t>
  </si>
  <si>
    <t>CENTRAL TEXAS REHABILITATION HOSPITAL LLC-CENTRAL TEXAS REHABILITATION HOSPITAL</t>
  </si>
  <si>
    <t>SETON FAMILY OF HOSPITALS-SETON MEDICAL CENTER WILLIAMSON</t>
  </si>
  <si>
    <t>HEALTHSOUTH REHABILITATION HOSPITAL OF AUSTIN</t>
  </si>
  <si>
    <t>094345801</t>
  </si>
  <si>
    <t>1568435279</t>
  </si>
  <si>
    <t>HEALTHSOUTH REHAB HOSPITAL OF SOUTH AUSTIN LLC-HEALTHSOUTH REHABILITATION HOSPITAL OF AUSTIN</t>
  </si>
  <si>
    <t>PAM REHABILITATION HOSPITAL OF ROUND ROCK LLC-PAM REHABILITATION HOSPITAL OF ROUND ROCK</t>
  </si>
  <si>
    <t>SCOTT AND WHITE HOSPITAL ROUND ROCK-BAYLOR SCOTT &amp; WHITE MEDICAL CENTER - ROUND ROCK</t>
  </si>
  <si>
    <t>AUSTIN CENTER FOR OUTPATIENT SURGERY LP-NORTHWEST HILLS SURGICAL HOSPITAL</t>
  </si>
  <si>
    <t>VIBRA REHABILITATION HOSPITAL OF LAKE TRAVIS</t>
  </si>
  <si>
    <t>1194137364</t>
  </si>
  <si>
    <t>SETON FAMILY OF HOSPITALS-SETON MEDICAL CENTER AUSTIN</t>
  </si>
  <si>
    <t>ESWCT CEDAR PARK, LLC-BAYLOR SCOTT &amp; WHITE EMERGENCY MEDICAL CTR AT CEDA</t>
  </si>
  <si>
    <t>SETON FAMILY OF HOSPITALS-ASCENSION SETON NORTHWEST</t>
  </si>
  <si>
    <t>THE HOSPITAL AT WESTLAKE MEDICAL CENTER</t>
  </si>
  <si>
    <t>HORIZON HEALTH AUSTIN INC-AUSTIN LAKES HOSPITAL</t>
  </si>
  <si>
    <t>Institution for Mental Disease</t>
  </si>
  <si>
    <t>TEXAS OAKS PSYCHIATRIC HOSPITAL LP-AUSTIN OAKS HOSPITAL</t>
  </si>
  <si>
    <t>SETON SHOAL CREEK HOSPITAL</t>
  </si>
  <si>
    <t>BRENTWOOD ACQUISITION SHREVEPORT INC-UNIVERSAL HEALTH SERVICES INC</t>
  </si>
  <si>
    <t>1417979204</t>
  </si>
  <si>
    <t>GEORGETOWN BEHAVIORAL HEALTH INSTITUTE, LLC-GEORGETOWN BEHAVIORAL HEALTH INSTITUTE LLC</t>
  </si>
  <si>
    <t>ROCK SPRINGS, LLC-</t>
  </si>
  <si>
    <t>SRP OCEANS HOSPITAL OF SAN MARCOS LLC-WELLBRIDGE HEALTHCARE OF SAN MARCOS</t>
  </si>
  <si>
    <t>AUSTIN BEHAVIORAL HOSPITAL LLC-CROSS CREEK HOSPITAL</t>
  </si>
  <si>
    <t>HILL COUNTRY COUNSELING-HILL COUNTRY CONSELING</t>
  </si>
  <si>
    <t>SETON HEALTHCARE-DELL CHILDRENS MEDICAL CENTER</t>
  </si>
  <si>
    <t>TARRANT COUNTY HOSPITAL DISTRICT-JPS HEALTH NETWORK</t>
  </si>
  <si>
    <t>DECATUR HOSPITAL AUTHORITY-WISE HEALTH SYSTEM</t>
  </si>
  <si>
    <t>Decatur Hospital Authority</t>
  </si>
  <si>
    <t>1123076401</t>
  </si>
  <si>
    <t>Texas Rehabilitation Hospital of Arlington</t>
  </si>
  <si>
    <t>1962809541</t>
  </si>
  <si>
    <t>BAYLOR MEDICAL CENTER AT CARROLLTON-BAYLOR SCOTT &amp; WHITE MEDICAL CENTER -CARROLLTON</t>
  </si>
  <si>
    <t>KINDRED HOSPITALS LIMITED PARTNERSHIP-KINDRED HOSPITAL - MANSFIELD</t>
  </si>
  <si>
    <t>FLOWER MOUND HOSPITAL PARTNERS LLC-TEXAS HEALTH PRESBYTERIAN HOSPITAL FLOWER MOUND</t>
  </si>
  <si>
    <t>NORTH TEXAS - MCA, LLC-MEDICAL CENTER OF ALLIANCE</t>
  </si>
  <si>
    <t>FT WORTH SURGICARE PARTNERS, LTD-BAYLOR SURGICAL HOSPITAL AT FT WORTH</t>
  </si>
  <si>
    <t>REHABILIATION INSTITUTE OF DENTON LLC-SELELCT REHABILITATIOIN HOSPITAL OF DENTON</t>
  </si>
  <si>
    <t>TEXAS HEALTH SPECIALTY HOSPITAL FORT WORTH-</t>
  </si>
  <si>
    <t>TEXAS GENERAL HOSPITAL VZRMC LP</t>
  </si>
  <si>
    <t>METHODIST HOSPITAL OF DALLAS-METHODIST MANSFIELD MEDICAL CENTER</t>
  </si>
  <si>
    <t>EBD BEMC BURLESON, LLC-BAYLOR SCOTT AND WHITE EMERGENCY HOSPITAL</t>
  </si>
  <si>
    <t>COLUMBIA PLAZA MED CTR OF FT WORTH SUBSIDIARY LP-PLAZA MEDICAL CENTER OF FORT WORTH</t>
  </si>
  <si>
    <t>SOUTHLAKE SPECIALTY HOSPITAL LLC-TEXAS HEALTH HARRIS METHODIST HOSPITAL SOUTHLAKE</t>
  </si>
  <si>
    <t>KINDRED HOSPITALS LIMITED PARTNERSHIP-KINDRED HOSPITAL-FORT WORTH</t>
  </si>
  <si>
    <t>WEATHERFORD REHABILITATION HOSPITAL LLC</t>
  </si>
  <si>
    <t>1558758490</t>
  </si>
  <si>
    <t>COLUMBIA NORTH HILLS HOSPITAL-COLUMBIA NORTH HILLS HOSPITA</t>
  </si>
  <si>
    <t>TEXAS HEALTH HARRIS METHODIST HOSPITAL AZLE-</t>
  </si>
  <si>
    <t>HEALTHSOUTH REHAB HOSPITAL OF THE MID-CITIES LLC-RELIANT REHABILITATION HOSPITAL MID CITIES</t>
  </si>
  <si>
    <t>TEXAS HEALTH HARRIS METHODIST HOSPITAL SOUTHWEST F-</t>
  </si>
  <si>
    <t>WEATHERFORD HEALTH SERVICES, LLC-</t>
  </si>
  <si>
    <t>AMH CATH LABS, LLC-TEXAS HEALTH HEART &amp; VASCULAR HOSPITAL ARLINGTON</t>
  </si>
  <si>
    <t>GLOBALREHAB FORT WORTH, LP-</t>
  </si>
  <si>
    <t>TEXAS HEALTH HARRIS METHODIST HOSPITAL CLEBURNE-</t>
  </si>
  <si>
    <t>TEXAS HEALTH HARRIS METHODIST HOSPITAL FORT WORTH-</t>
  </si>
  <si>
    <t>COLUMBIA MEDICAL CENTER OF DENTON SUBSIDIARY LP-DENTON REGIONAL MEDICAL CENTER</t>
  </si>
  <si>
    <t>MEDICAL CENTER OF LEWISVILLE SUBSIDIARY LP-MEDICAL CENTER OF LEWISVILLE</t>
  </si>
  <si>
    <t>CORINTH INVESTOR HOLDINGS LLC-</t>
  </si>
  <si>
    <t>TEXAS HEALTH HARRIS METHODIST HOSPITAL ALLIANCE-</t>
  </si>
  <si>
    <t>THHBP MANAGEMENT COMPANY LLC-BAYLOR SCOTT AND WHITE THE HEART HOSPITAL DENTON</t>
  </si>
  <si>
    <t>TRANSITIONAL HOSPITALS CORPORATION OF TEXAS LLC-KINDRED HOSPITAL - TARRANT COUNTY</t>
  </si>
  <si>
    <t>1174692156</t>
  </si>
  <si>
    <t>TEXAS HEALTH ARLINGTON MEMORIAL HOSPITAL-</t>
  </si>
  <si>
    <t>COLUMBIA MEDICAL CENTER OF ARLINGTON SUBSIDIARY LP-MEDICAL CENTER OF ARLINGTON</t>
  </si>
  <si>
    <t>BAYLOR MED CTR AT GRAPEVINE-BAYLOR SCOTT AND WHITE MEDICAL CENTER-GRAPEVINE</t>
  </si>
  <si>
    <t>TEXAS HEALTH HUGULEY INC-TEXAS HEALTH HUGULEY FORT WORTH SOUTH</t>
  </si>
  <si>
    <t>TEXAS HEALTH PRESBYTERIAN HOSPITAL DENTON-</t>
  </si>
  <si>
    <t>UHP LP</t>
  </si>
  <si>
    <t>HAVEN BEHAVIORAL SERVICES OF FRISCO LLC-HAVEN BEHAVIORAL HOSPITAL OF FRISCO</t>
  </si>
  <si>
    <t>SRP OCEANS HOSPITAL OF FORTWORTH LLC-WELLBRIDGE HEALTHCARE OF FORT WORTH</t>
  </si>
  <si>
    <t>MESA SPRINGS, LLC-</t>
  </si>
  <si>
    <t>MAYHILL BEHAVIORAL HEALTH LLC-</t>
  </si>
  <si>
    <t>1316242910</t>
  </si>
  <si>
    <t>CARROLLTON SPRINGS LLC</t>
  </si>
  <si>
    <t>MILLWOOD HOSPITAL</t>
  </si>
  <si>
    <t>COOK CHILDREN'S MEDICAL CENTER-</t>
  </si>
  <si>
    <t>CHRISTUS SPOHN HEALTH SYSTEM CORPORATION-CHRISTUS SPOHN HOSPITAL CORPUS CHRISTI</t>
  </si>
  <si>
    <t>KARNES COUNTY HOSPITAL DISTRICT-OTTO KAISER MEMORIAL HOSPITAL</t>
  </si>
  <si>
    <t>CHRISTUS SPOHN HEALTH SYSTEM CORPORATION-CHRISTUS SPOHN HOSPITAL BEEVILLE</t>
  </si>
  <si>
    <t>CHRISTUS SPOHN HEALTH SYSTEM CORPORATION-CHRISTUS SPOHN HOSPITAL KLEBERG</t>
  </si>
  <si>
    <t>CHRISTUS SPOHN HEALTH SYSTEM CORPORATION-</t>
  </si>
  <si>
    <t>Dubuis Hospital of Corpus Christi</t>
  </si>
  <si>
    <t>1982792552</t>
  </si>
  <si>
    <t>DETAR HOSPITAL-DETAR HOSPITAL NAVARRO</t>
  </si>
  <si>
    <t>POST ACUTE MEDICAL AT VICTORIA LLC-PAM SPECIALTY HOSPITAL OF VICTORIA NORTH</t>
  </si>
  <si>
    <t>BAY AREA HEALTHCARE GROUP, LTD-CORPUS CHRISTI MEDICAL CENTER</t>
  </si>
  <si>
    <t>POST ACUTE SPECIALTY HOSPITAL OF VICTORIA LLC-PAM SPECIALTY HOSPITAL OF VICTORIA SOUTH</t>
  </si>
  <si>
    <t>POST ACUTE SPECIALTY HOSPITAL OF CORPUS CHRISTI LL</t>
  </si>
  <si>
    <t>329971101</t>
  </si>
  <si>
    <t>1366874620</t>
  </si>
  <si>
    <t>WARM SPRINGS REHABILITATION HOSPITAL OF VICTORIA L-PAM REHABILITATION HOSPITAL OF VICTORIA</t>
  </si>
  <si>
    <t>CBSH,LLC-</t>
  </si>
  <si>
    <t>POST ACUTE MEDICAL REHABILITATION HOSPITAL OF CORP-PAM REHABILITATION HOSPITAL OF CORPUS CHRISTI</t>
  </si>
  <si>
    <t>CITIZENS MEDICAL CENTER COUNTY OF VICTORIA-CITIZENS MEDICAL CENTER</t>
  </si>
  <si>
    <t>ECTOR COUNTY HOSPITAL DISTRICT-MEDICAL CENTER HOSPITAL</t>
  </si>
  <si>
    <t>HANSFORD COUNTY HOSPITAL DISTRICT-HANSFORD COUNTY HOSPITAL</t>
  </si>
  <si>
    <t>GRAHAM HOSPITAL DISTRICT-</t>
  </si>
  <si>
    <t>ELECTRA HOSPITAL DISTRICT-ELECTRA MEMORIAL HOSPITAL</t>
  </si>
  <si>
    <t>LILLIAN M HUDSPETH MEMORIAL ER PHYS-LILLIAN M HUDSPETH MEMORIAL HOSPITAL</t>
  </si>
  <si>
    <t>MEMORIAL HOSPITAL</t>
  </si>
  <si>
    <t>JACK COUNTY HOSPITAL DISTRICT-FAITH COMMUNITY HOSPITAL</t>
  </si>
  <si>
    <t>COUNTY OF YOAKUM-YOAKUM COUNTY HOSPITAL</t>
  </si>
  <si>
    <t>PECOS COUNTY MEMORIAL HOSPITAL-</t>
  </si>
  <si>
    <t>UVALDE COUNTY HOSPITAL AUTHORITY-UVALDE MEMORIAL HOSPITAL</t>
  </si>
  <si>
    <t>WINKLER COUNTY HOSPITAL DISTRICT-WINKLER COUNTY MEMORIAL HOSPITAL</t>
  </si>
  <si>
    <t>COUNTY OF WARD-WARD MEMORIAL HOSPITAL</t>
  </si>
  <si>
    <t>MOORE COUNTY HOSPITAL-</t>
  </si>
  <si>
    <t>EASTLAND MEMORIAL HOSPITAL DISTRICT-EASTLAND MEMORIAL HOSPITAL</t>
  </si>
  <si>
    <t>FISHER COUNTY HOSPITAL-FISHER COUNTY HOSPITAL DISTRICT</t>
  </si>
  <si>
    <t>SCURRY COUNTY HOSPITAL DISTRICT-D.M. COGDELL MEMORIAL HOSPITAL</t>
  </si>
  <si>
    <t>KNOX COUNTY HOSPITAL DISTRICT-KNOX COUNTY HOSPITAL</t>
  </si>
  <si>
    <t>ANSON HOSPITAL DISTRICT-</t>
  </si>
  <si>
    <t>NORTH WHEELER COUNTY HOSTPIAL DISTRICT-PARKVIEW HOSPITAL</t>
  </si>
  <si>
    <t>HAMLIN HOSPITAL DISTRICT-HAMLIN MEMORIAL HOSPITAL</t>
  </si>
  <si>
    <t>THROCKMORTON COUNTY MEMORIAL HOSPITAL-</t>
  </si>
  <si>
    <t>CHILDRESS COUNTY HOSPITAL DISTRICT-CHILDRESS REGIONAL MEDICAL CENTER</t>
  </si>
  <si>
    <t>WILBARGER COUNTY HOSPITAL DISTRICT-WILBARGER GENERAL HOSPITAL</t>
  </si>
  <si>
    <t>CRANE COUNTY HOSPITAL DISTRICT-CRANE MEMORIAL HOSPITAL</t>
  </si>
  <si>
    <t>RANKIN COUNTY HOSPITAL DISTRICT</t>
  </si>
  <si>
    <t>NORTH RUNNELS COUNTY HOSPITAL-</t>
  </si>
  <si>
    <t>BAYLOR COUNTY HOSPITAL DISTRICT-SEYMOUR HOSPITAL</t>
  </si>
  <si>
    <t>MITCHELL COUNTY HOSPITAL DISTRICT-MITCHELL COUNTY HOSPITAL</t>
  </si>
  <si>
    <t>DAWSON COUNTY HOSPITAL DISTRICT-MEDICAL ARTS HOSPITAL</t>
  </si>
  <si>
    <t>VAL VERDE HOSPITAL CORPORATION-VAL VERDE REGIONAL MEDICAL CENTER</t>
  </si>
  <si>
    <t>GENERAL HOSPITAL-IRAAN GENERAL HOSPITAL</t>
  </si>
  <si>
    <t>STONEWALL MEMORIAL HOSPITAL DISTRICT-STONEWALL MEMORIAL HOSPITAL</t>
  </si>
  <si>
    <t>CASTRO COUNTY HOSPITAL DISTRICT-PLAINS MEMORIAL HOSPITAL</t>
  </si>
  <si>
    <t>SID PETERSON MEMORIAL HOSPITAL-PETERSON REGIONAL MEDICAL CENTER</t>
  </si>
  <si>
    <t>Jones County Regional Healthcare System</t>
  </si>
  <si>
    <t>PREFERRED HOSPITAL LEASING MULESHOE INC-MULESHOE AREA MEDICAL CENTER</t>
  </si>
  <si>
    <t>HEART OF TEXAS HEALTHCARE SYSTEM-</t>
  </si>
  <si>
    <t>PREFERRED HOSPITAL LEASING INC-COLLINGSWORTH GENERAL HOSPITAL</t>
  </si>
  <si>
    <t>FRIO HOSPITAL-FRIO REGIONAL SWING BED</t>
  </si>
  <si>
    <t>PREFERRED HOSPITAL LEASING COLEMAN INC-COLEMAN COUNTY MEDICAL CENTER COMPANY</t>
  </si>
  <si>
    <t>PRIME HEALTHCARE SERVICES PAMPA LLC-PAMPA REGIONAL MEDICAL CENTER</t>
  </si>
  <si>
    <t>DIMMIT REGIONAL HOSPITAL-</t>
  </si>
  <si>
    <t>PREFERRED HOSPITAL LEASING ELDORADO INC-SCHLEICHER COUNTY MEDICAL CENTER</t>
  </si>
  <si>
    <t>1285191452</t>
  </si>
  <si>
    <t>PREFERRED HOSPITAL LEASING JUNCTION INC-KIMBLE HOSPITAL</t>
  </si>
  <si>
    <t>PREFERRED HOSPITAL LEASING VAN HORN INC-CULBERSON HOSPITAL</t>
  </si>
  <si>
    <t>CONTINUECARE HOSPITAL AT HENDRICK MEDICAL CENTER-CONTINUE CARE HOSPITAL AT HENDRICK MEDICAL CENTER</t>
  </si>
  <si>
    <t>HEALTHSOUTH REHABILITATION-ENCOMPASS HEALTH REHABILITATION HOSPITAL OF MIDLA</t>
  </si>
  <si>
    <t>ODESSA REGIONAL HOSPITAL LP-ODESSA REGIONAL MEDICAL CENTER</t>
  </si>
  <si>
    <t>KPC PROMISE HOSPITAL OF WICHITA FALLS, LLC-KPC PROMISE HOSPITAL OF WICHITA FALLS</t>
  </si>
  <si>
    <t>KELL WEST REGIONAL HOSPITAL LLC-KELL WEST REGIONAL HOSPITAL</t>
  </si>
  <si>
    <t>HEALTHSOUTH REHABILITATION HOSPITAL OF ABILENE LLC-HEALTHSOUTH REHABILITATION HOSPITAL OF ABILENE</t>
  </si>
  <si>
    <t>CONTINUECARE HOSPITAL OF MIDLAND INC-</t>
  </si>
  <si>
    <t>HealthSouth Rehabilitation Hospital of Midland</t>
  </si>
  <si>
    <t>1033152004</t>
  </si>
  <si>
    <t>MIDLAND COUNTY HOSPITAL DISTRCT-MIDLAND MEMORIAL HOSPITAL</t>
  </si>
  <si>
    <t>WILBARGER COUNTY HOSPITAL DISTRICT-</t>
  </si>
  <si>
    <t>1962658302</t>
  </si>
  <si>
    <t>OCEANS BEHAVIORAL HOSPITAL OF ABILENE LLC-</t>
  </si>
  <si>
    <t>RIVER CREST HOSPITAL</t>
  </si>
  <si>
    <t>RED RIVER HOSPITAL LLC-RED RIVER HOSPITAL</t>
  </si>
  <si>
    <t>BEHAVIORAL HEALTH CENTER OF THE PERMIAN BASIN LLC-OCEANS BEHAVIORAL HOSPITAL OF PERMIAN BASIN</t>
  </si>
  <si>
    <t>UNIVERSITY OF TEXAS HEALTH SCIENCE CENTER AT TYLER-UT HEALTH CENTER-TYLER</t>
  </si>
  <si>
    <t>GAINESVILLE COMMUNITY HOSPITAL, INC.-NORTH TEXAS MEDICAL CENTER</t>
  </si>
  <si>
    <t>NACOGDOCHES COUNTY HOSPITAL DISTRICT-MEMORIAL HOSPITAL</t>
  </si>
  <si>
    <t>FANNIN COUNTY HOSPITAL AUTHORITY-TMC BONHAM HOSPITAL</t>
  </si>
  <si>
    <t>MUENSTER HOSPITAL DISTRICT-MUENSTER MEMORIAL HOSPITAL</t>
  </si>
  <si>
    <t>NOCONA HOSPITAL DISTRICT-NOCONA GENERAL HOSPITAL</t>
  </si>
  <si>
    <t>TITUS COUNTY MEM HOSP DIST-TITUS REGIONAL MEDICAL CENTER</t>
  </si>
  <si>
    <t>PREFERRED HOSPITAL LEASING HEMPHILL INC-SABINE COUNTY HOSPITAL</t>
  </si>
  <si>
    <t>JACKSONVILLE HOSPITAL LLC-UT HEALTH EAST TEXAS JACKSONVILLE HOSPITAL</t>
  </si>
  <si>
    <t>CARTHAGE HOSPITAL LLC-UT HEALTH EAST TEXAS CARTHAGE HOSPITAL</t>
  </si>
  <si>
    <t>QUITMAN HOSPITAL LLC-UT HEALTH EAST TEXAS</t>
  </si>
  <si>
    <t>MEMORIAL MEDICAL CENTER OF EAST TEXAS-MEMORIAL MED CTR OF EAST TX</t>
  </si>
  <si>
    <t>HENDERSON HOSPITAL LLC-UT HEALTH EAST TEXAS HENDERSON HOSPITAL</t>
  </si>
  <si>
    <t>PITTSBURG HOSPITAL LLC-UT HEALTH EAST TEXAS PITTSBURG HOSPITAL</t>
  </si>
  <si>
    <t>PALESTINE PRINCIPAL HEALTHCARE LIMITED PARTNERSHIP-PALESTINE REGIONAL MEDICAL CENTER</t>
  </si>
  <si>
    <t>CROCKETT MEDICAL CENTER LLC-CROCKETT MEDICAL CENTER</t>
  </si>
  <si>
    <t>ESSENT PRMC LP-PARIS REGIONAL MEDICAL CENTER</t>
  </si>
  <si>
    <t>SELECT SPECIALTY HOSPITAL LONGVIEW INC-SELECT SPECIALTY HOSPITAL LONGVIEW</t>
  </si>
  <si>
    <t>UHS OF TEXOMA INC-TEXOMA MEDICAL CENTER</t>
  </si>
  <si>
    <t>The Good Shepherd Hospital, Inc.</t>
  </si>
  <si>
    <t>MOTHER FRANCES HOSPITAL REGIONAL HEALTHCARE CENTER-MOTHER FRANCES HOSPITAL</t>
  </si>
  <si>
    <t>East Texas Medical Center Specialty Hospital</t>
  </si>
  <si>
    <t>1619092780</t>
  </si>
  <si>
    <t>LONGVIEW MEDICAL CENTER LP-LONGVIEW REGIONAL MEDICAL CENTER</t>
  </si>
  <si>
    <t>CHRISTUS HEALTH ARK LA TEX-CHRISTUS ST MICHAEL REHABILITATION HOSPITAL</t>
  </si>
  <si>
    <t>ATHENS HOSPITAL LLC-UT HEALTH EAST TEXAS ATHENS HOSPITAL</t>
  </si>
  <si>
    <t>TYLER REGIONAL HOSPITAL LLC-UT HEALTH EAST TEXAS TYLER REGIONAL HOSPITAL</t>
  </si>
  <si>
    <t>CHRISTUS HEALTH ARK LATEX-</t>
  </si>
  <si>
    <t>HERITAGE PARK SURGICAL HOSPITAL, LLC-BAYLOR SCOTT &amp; WHITE SURGICAL HOSPITAL AT SHERMAN</t>
  </si>
  <si>
    <t>PAM SQUARED AT TEXARKANA, LLC-</t>
  </si>
  <si>
    <t>REHABILITATION HOSPITAL LLC-UT HEALTH EAST TEXAS REHABILITATION HOSPITAL</t>
  </si>
  <si>
    <t>CHRISTUS GOOD SHEPHERD MEDICAL CENTER-CHRISTUS GOOD SHEPHERD MEDICAL CENTER MARSHALL</t>
  </si>
  <si>
    <t>BRIM HEALTHCARE OF TEXAS LLC-WADLEY REGIONAL MEDICAL CENTER</t>
  </si>
  <si>
    <t>PAM SPECIALTY HOSPITAL OF LUFKIN, LLC-</t>
  </si>
  <si>
    <t>SHERMAN GRAYSON HOSPITAL LLC-WILSON N JONES REGIONAL MEMORIAL CENTER</t>
  </si>
  <si>
    <t>OCEANS BEHAVORIAL HOSPITAL OF LUFKIN LLC-OCEANS BEHAVORIAL HOSPITAL OF LUFKIN</t>
  </si>
  <si>
    <t>AUDUBON BEHAVIORAL HEALTHCARE OF LONGVIEW LLC-OCEANS BEHAVIORAL HOSPITAL OF LONGVIEW</t>
  </si>
  <si>
    <t>GOODALL WITCHER HOSPITAL FOUNDATION</t>
  </si>
  <si>
    <t>GONZALES HEALTHCARE SYSTEMS-MEMORIAL HOSPITAL</t>
  </si>
  <si>
    <t>CORYELL COUNTY MEMORIAL HOSPITAL AUTHORITY-</t>
  </si>
  <si>
    <t>SOMERVELL COUNTY HOSPITAL DISTRICT-GLEN ROSE MEDICAL CENTER</t>
  </si>
  <si>
    <t>HAMILTON COUNTY HOSPITAL DISTRICT-HAMILTON GENERAL HOSPITAL</t>
  </si>
  <si>
    <t>FAIRFIELD HOSPITAL DISTRICT-FREESTONE MEDICAL CENTER</t>
  </si>
  <si>
    <t>JACKSON COUNTY HOSPITAL DISTRICT-JACKSON HEALTHCARE CENTER</t>
  </si>
  <si>
    <t>TEXAS HEALTH HARRIS METHODIST HOSPITAL STEPHENVILL-</t>
  </si>
  <si>
    <t>METROPLEX ADVENTIST HOSPITAL INC-ROLLINS BROOK COMMUNITY HOSPITAL</t>
  </si>
  <si>
    <t>BURLESON ST JOSEPH HEALTH CENTER-BURLESON ST. JOSEPH HEALTH CENTER</t>
  </si>
  <si>
    <t>COLUMBUS COMMUNITY HOSPITAL-</t>
  </si>
  <si>
    <t>HILL COUNTRY MEMORIAL HOSPITAL-HILL COUNTRY MEMORIAL HOSP</t>
  </si>
  <si>
    <t>SCOTT AND WHITE HOSPITAL - LLANO-BAYLOR SCOTT AND WHITE MEDICAL CENTER - LLANO</t>
  </si>
  <si>
    <t>Rockdale Blackhawk LLC</t>
  </si>
  <si>
    <t>CAHRMC LLC-RICE MEDICAL CENTER</t>
  </si>
  <si>
    <t>SCOTT &amp; WHITE HOSPITAL BRENHAM-BAYLOR SCOTT AND WHITE MEDICAL CENTER BRENHAM</t>
  </si>
  <si>
    <t>NHCI OF HILLSBORO INC-HILL REGIONAL HOSPITAL</t>
  </si>
  <si>
    <t>ST JOSEPH HEALTHSOUTH REHABILITATION HOSPITAL LLC-CHI ST JOSEPH REHABILITATION HOSPITAL</t>
  </si>
  <si>
    <t>HILLCREST BAPTIST MEDICAL CENTER-BAYLOR SCOTT AND WHITE MEDICAL CENTER HILLCREST</t>
  </si>
  <si>
    <t>HH KILLEEN HEALTH SYSTEM LLC-SETON MEDICAL CENTER HARKER HEIGHTS</t>
  </si>
  <si>
    <t>BRAZOS VALLEY PHYSICIANS ORGANIZATION MSO LLC-THE PHYSICIANS CENTRE HOSPITAL</t>
  </si>
  <si>
    <t>METROPLEX ADVENTIST HOSPITAL INC-METROPLEX HOSPITAL</t>
  </si>
  <si>
    <t>SCOTT AND WHITE MEMORIAL HOSPITAL-SCOTT AND WHITE MEDICAL CENTER TEMPLE</t>
  </si>
  <si>
    <t>PROVIDENCE HEALTH SERVICES OF WACO-PROVIDENCE HEALTHCARE NETWORK</t>
  </si>
  <si>
    <t>1053963009</t>
  </si>
  <si>
    <t>SCOTT &amp; WHITE CONTINUING CARE HOSPITAL-BAYLOR SCOTT &amp; WHITE CONTINUING CARE HOSPITAL</t>
  </si>
  <si>
    <t>HMIH CEDAR CREST LLC-CEDAR CREST HOSPITAL</t>
  </si>
  <si>
    <t>STRATEGIC BH-ROCK PRAIRIE BEHAVIORAL HEALTH</t>
  </si>
  <si>
    <t>LYNN COUNTY HOSPITAL-LYNN COUNTY HOSPITAL DISTRICT</t>
  </si>
  <si>
    <t>TERRY MEMORIAL HOSPITAL DISTRICT-BROWNFIELD REGIONAL MEDICAL CENTER</t>
  </si>
  <si>
    <t>DEAF SMITH COUNTY HOSPITAL DISTRICT-HEREFORD REGIONAL MEDICAL CENTER</t>
  </si>
  <si>
    <t>SWISHER MEMORIAL HEALTHCARE SYSTEM-SWISHER MEMORIAL HOSPITAL</t>
  </si>
  <si>
    <t>GPCH LLC-GOLDEN PLAINS COMMUNITY HOSPITAL</t>
  </si>
  <si>
    <t>METHODIST HOSPITAL LEVELLAND-COVENANT HOSPITAL LEVELLAND</t>
  </si>
  <si>
    <t>METHODIST HOSPITAL PLAINVIEW-COVENANT HOSPITAL PLAINVIEW</t>
  </si>
  <si>
    <t>COVENANT HEALTH SYSTEM-COVENANT MEDICAL CENTER</t>
  </si>
  <si>
    <t>COVENANT REHABILITATION HOSPITAL OF LUBBOCK LLC-TRUSTPOINT REHABILITATION HOSPITAL OF LUBBOCK</t>
  </si>
  <si>
    <t>LUBBOCK HEART HOSPITAL LLC-LUBBOCK HEART HOSPITAL</t>
  </si>
  <si>
    <t>PHYSICIANS SURGICAL HOSPITALS LLC-QUAIL CREEK SURGICAL HOSPITAL</t>
  </si>
  <si>
    <t>PLUM CREEK SPECIALTY HOSPITAL</t>
  </si>
  <si>
    <t>352444901</t>
  </si>
  <si>
    <t>1851785521</t>
  </si>
  <si>
    <t>VIBRA REHABILITATION HOSPITAL OF AMARILLO LLC-VIBRA REHABILITATION HOSPITAL OF AMARILLO</t>
  </si>
  <si>
    <t>NORTHWEST TEXAS HEALTH CARE SYSTEM INC-NORTHWEST TEXAS HOSPITAL</t>
  </si>
  <si>
    <t>BSA HOSPITAL LLC-BAPTIST ST ANTHONYS HEALTH SYSTEM</t>
  </si>
  <si>
    <t>LUBBOCK HERITAGE HOSPITAL LLC-GRACE MEDICAL CENTER</t>
  </si>
  <si>
    <t>VIBRA HOSPITAL OF AMARILLO LLC-VIBRA HOSPITAL OF AMARILLO</t>
  </si>
  <si>
    <t>COVENANT LONG TERM CARE LP-COVENANT SPECIALTY HOSPITAL</t>
  </si>
  <si>
    <t>LUBBOCK REGIONAL MHMR CENTER</t>
  </si>
  <si>
    <t>METHODISTS CHILDRENS HOSPITAL-COVENANT CHILDRENS HOSPITAL</t>
  </si>
  <si>
    <t>BAYSIDE COMMUNITY HOSPITAL-</t>
  </si>
  <si>
    <t>LIBERTY COUNTY HOSPITAL DISTRICT NO 1-LIBERTY DAYTON REGIONAL MEDICAL CENTER</t>
  </si>
  <si>
    <t>OPREX SURGERY BAYTOWN LP-ALTAS BAYTOWN HOSPICE</t>
  </si>
  <si>
    <t>MEMORIAL HOSP OF POLK COUNTY-CHI ST LUKES HEALTH MEMORIAL LIVINGSTON</t>
  </si>
  <si>
    <t>CHRISTUS JASPER MEMORIAL HOSPITAL-</t>
  </si>
  <si>
    <t>EMERGENCY HOSPITAL SYSTEMS LLC-CLEVELAND EMERGENCY HOSPITAL</t>
  </si>
  <si>
    <t>LHCG CXXI, LLC-CHRISTUS DUBUIS HOSPITAL OF BEAUMONT</t>
  </si>
  <si>
    <t>THE MEDICAL CENTER OF SOUTHEAST TEXAS LP-</t>
  </si>
  <si>
    <t>PAM SQUARED AT BEAUMONT, LLC-</t>
  </si>
  <si>
    <t>CHRISTUS HEALTH SOUTHEAST TEXAS-CHRISTUS HOSPITAL</t>
  </si>
  <si>
    <t>MID JEFFERSON EXTENDED CARE HOSPITAL-</t>
  </si>
  <si>
    <t>WALKER COUNTY HOSPITAL CORPORATION-HUNTSVILLE MEMORIAL HOSPITAL</t>
  </si>
  <si>
    <t>BAPTIST HOSPITALS OF SOUTHEAST TEXAS-MEMORIAL HERMANN BAPTIST BEAUMONT HOSPITAL</t>
  </si>
  <si>
    <t>FORT DUNCAN REGIONAL MEDICAL CENTER LP-FORT DUNCAN REGIONAL MEDICAL CENTER</t>
  </si>
  <si>
    <t>HARLINGEN MEDICAL CENTER LP-</t>
  </si>
  <si>
    <t>CHG HOSPITAL MCALLEN LLC-SOLARA SPECIALTY HOSPITALS MCALLEN</t>
  </si>
  <si>
    <t>LAREDO REHABILITATION HOSPITAL LLC-</t>
  </si>
  <si>
    <t>NEW LIFECARE HOSPITALS OF SOUTH TEXAS LLC</t>
  </si>
  <si>
    <t>330847001</t>
  </si>
  <si>
    <t>1679916530</t>
  </si>
  <si>
    <t>COLUMBIA RIO GRANDE HEALTHCARE LP-RIO GRANDE REGIONAL HOSPITAL</t>
  </si>
  <si>
    <t>SOLARA HOSPITAL HARLINGEN-SOLARA SPECIALTY HOSPITALS HARLINGEN BROWNSVILLE</t>
  </si>
  <si>
    <t>WESLACO REGIONAL REHABILITATION HOSPITAL, LLC-</t>
  </si>
  <si>
    <t>LAREDO REGIONAL MEDICAL CENTER LP-DOCTORS HOSPITAL OF LAREDO</t>
  </si>
  <si>
    <t>LAREDO SPECIALTY HOSPITAL</t>
  </si>
  <si>
    <t>MISSION HOSPITAL INC-MISSION REGIONAL MEDICAL CENTER</t>
  </si>
  <si>
    <t>VHS BROWNSVILLE HOSPITAL COMPANY LLC-VALLEY BAPTIST MEDICAL CENTER BROWNSVILLE</t>
  </si>
  <si>
    <t>SOUTH TEXAS REHABILITATION HOSPITAL LP-</t>
  </si>
  <si>
    <t>DAY SURGERY AT RENAISSANCE LLC-DOCTORS HOSPITAL AT RENAISSANCE LTD</t>
  </si>
  <si>
    <t>COLUMBIA VALLEY HEALTHCARE SYSTEMS LP-VALLEY REGIONAL MEDICAL CENTER</t>
  </si>
  <si>
    <t>HEALTH AND HUMAN SERVICES COMMISSION-SOUTH TEXAS HOSPITAL</t>
  </si>
  <si>
    <t>021219301</t>
  </si>
  <si>
    <t>1558434894</t>
  </si>
  <si>
    <t>STRATEGIC BH-BROWNSVILLE, LLC-PALMS BEHAVIORAL HEALTH</t>
  </si>
  <si>
    <t>MATAGORDA COUNTY HOSPITAL DISTRICT-MATAGORDA REGIONAL MEDICAL CENTER</t>
  </si>
  <si>
    <t>BELLVILLE ST JOSEPH HEALTH CENTER-</t>
  </si>
  <si>
    <t>EL CAMPO MEMORIAL HOSPITAL-</t>
  </si>
  <si>
    <t>MEMORIAL HERMANN HOSPITAL SYSTEM-MHHS HERMANN HOSPITAL</t>
  </si>
  <si>
    <t>COMMUNITY HOSPITAL OF BRAZOSPORT-BRAZOSPORT REGIONAL HEALTH SYSTEM</t>
  </si>
  <si>
    <t>CLEAR LAKE REHABILITATION HOSPITAL LLC-KINDRED REHABILIT HOSPITAL CLEAR LAKE</t>
  </si>
  <si>
    <t>CHCA CONROE LP-HCA HOUSTON HEALTHCARE CONROE</t>
  </si>
  <si>
    <t>HOUSTON METHODIST ST JOHN HOSPITAL-HOUSTON METHODIST CLEAR LAKE HOSPITAL</t>
  </si>
  <si>
    <t>KINDRED HOSPITALS LIMITED PARTNERSHIP-KINDRED HOSPTIAL HOUSTON MEDICAL CENTER</t>
  </si>
  <si>
    <t>ST LUKES COMMUNITY HEALTH SERVICES-ST LUKES THE WOODLANDS HOSPITAL</t>
  </si>
  <si>
    <t>MEMORIAL HERMANN HOSPITAL SYSTEM-MHHS KATY HOSPITAL</t>
  </si>
  <si>
    <t>SAN JACINTO METHODIST HOSPITAL-HOUSTON METHODIST SAN JACINTO HOSPITAL</t>
  </si>
  <si>
    <t>DOCTORS HOSPITAL 1997 LP-UNITED MEMORIAL MEDICAL CENTER</t>
  </si>
  <si>
    <t>VISTA COMMUNITY MEDICAL CENTER HOSPITAL LLP-SURGERY SPECIALTY HOSPITAL OF AMERICA SE HOUSTON</t>
  </si>
  <si>
    <t>METHODIST WILLOWBROOK-HOUSTON METHODIST WILLOWBROOK HOSPITAL</t>
  </si>
  <si>
    <t>CLEAR LAKE INSTITUTE FOR REHABILITATION, LLC-PAM REHABILITATION HOSPITAL OF CLEAR LAKE</t>
  </si>
  <si>
    <t>FIRST TEXAS HOSPITAL CY-FAIR, LLC-FIRST TEXAS HOSPITAL</t>
  </si>
  <si>
    <t>KINGWOOD PLAZA HOSPITAL-HCA HOUSTON HEALTHCARE KINGWOOD</t>
  </si>
  <si>
    <t>Tomball Regional Medical Center</t>
  </si>
  <si>
    <t>HOUSTON NORTHWEST OPERATING COMPANY LLC-HOUSTON NORTHWEST MEDICAL CENTER</t>
  </si>
  <si>
    <t>MEMORIAL HERMANN HOSPITAL SYSTEM-MHHS MEMORIAL CITY HOSPITAL</t>
  </si>
  <si>
    <t>MEMORIAL HERMANN HEALTH SYSTEM-MHHS THE WOODLANDS HOSPITAL</t>
  </si>
  <si>
    <t>TRIUMPH SOUTHWEST LP-KINDRED HOSPITAL SUGAR LAND</t>
  </si>
  <si>
    <t>MEMORIAL HERMANN HEALTH SYSTEM-TIRR MEMORIAL HERMANN</t>
  </si>
  <si>
    <t>AD HOSPITAL EAST LLC-</t>
  </si>
  <si>
    <t>ST. LUKE'S COMMUNITY DEVELOPMENT CORPORATION-SUGAR-ST. LUKE'S SUGAR LAND HOSPITAL</t>
  </si>
  <si>
    <t>Memorial Hermann Orthopedic &amp; Spine Hospital</t>
  </si>
  <si>
    <t>1659313146</t>
  </si>
  <si>
    <t>TRIUMPH HOSPITAL OF EAST HOUSTON LP-KINDRED HOSPITAL CLEAR LAKE</t>
  </si>
  <si>
    <t>CHCA PEARLAND, LP-HCA HOUSTON HEALTHCARE PEARLAND</t>
  </si>
  <si>
    <t>Houston Hospital for Specialized Surgery</t>
  </si>
  <si>
    <t>HEALTHSOUTH REHABILITATION HOSPITAL OF SUGAR LAND-HEALTHSOUTH SUGAR LAND REHABILITATION HOSPITAL</t>
  </si>
  <si>
    <t>METHODIST SUGAR LAND HOSPITAL-HOUSTON METHODIST SUGAR LAND HOSPITAL</t>
  </si>
  <si>
    <t>ER AMERICAN HEALTHCARE SERVICES, LLC-</t>
  </si>
  <si>
    <t>TRIUMPH REHABILIATION HOSPITAL OF NORTHEAST HOUSTO-KINDRED REHABILITATION HOSPITAL NORTHEAST HOUSTON</t>
  </si>
  <si>
    <t>ST LUKES PATIENTS MEDICAL CENTER-</t>
  </si>
  <si>
    <t>ATRIUM MEDICAL CENTER LP-</t>
  </si>
  <si>
    <t>HEALTHSOUTH REHABILITATION HOSPITAL OF VINTAGE PAR-HEALTHSOUTH REHABILITATION HOSPITAL THE VINTAGE</t>
  </si>
  <si>
    <t>HOUSTON METHODIST ST CATHERINE HOSPITAL-HOUSTON METHODIST CONTINUING CARE HOSPITAL</t>
  </si>
  <si>
    <t>MEMORIAL HERMANN HOSPITAL SYSTEM-MHHS NORTHEAST HOSPITAL</t>
  </si>
  <si>
    <t>MEMORIAL HERMANN HOSPITAL SYSTEM-MHHS SUGAR LAND HOSPITAL</t>
  </si>
  <si>
    <t>WEBSTER SURGICAL SPECIALTY HOSPITAL, LTD-HOUSTON PHYSICIANS HOSPITAL</t>
  </si>
  <si>
    <t>TRIUMPH HOSPITAL OF NORTH HOUSTON LP-KINDRED HOSPITAL TOMBALL</t>
  </si>
  <si>
    <t>HEALTHSOUTH REHABILITATION HOSPITAL OF CYPRESS LLC-</t>
  </si>
  <si>
    <t>CHCA WEST HOUSTON LP-HCA HOUSTON HEALTHCARE WEST</t>
  </si>
  <si>
    <t>Cornerstone Hospital Medical Center</t>
  </si>
  <si>
    <t>1235416801</t>
  </si>
  <si>
    <t>HEALTHSOUTH REHABILITATION HOSPITAL THE WOODLANDS-ENCOMPASS HEALTH REHABILITATION HOSPITAL OF THE W</t>
  </si>
  <si>
    <t>ST LUKES LAKESIDE HOSPITAL LLC-ST LUKES LAKESIDE HOSPITAL</t>
  </si>
  <si>
    <t>St Lukes Episcopal Hospital</t>
  </si>
  <si>
    <t>1184662847</t>
  </si>
  <si>
    <t>METHODIST HEALTH CENTERS-HOUSTON METHODIST THE WOODLANDS HOSPITAL</t>
  </si>
  <si>
    <t>PINE VALLEY SPECIALTY HOSPITAL OPERATOR, LLC-PINE VALLEY SPECIALTY HOSPITAL</t>
  </si>
  <si>
    <t>361849801</t>
  </si>
  <si>
    <t>1184089054</t>
  </si>
  <si>
    <t>CHCA BAYSHORE LP-HCA HOUSTON HEALTHCARE SOUTHEAST</t>
  </si>
  <si>
    <t>MH EMERUS FIRST COLONY, LLC-MEMORIAL HERMANN FIRST COLONY HOSPITAL</t>
  </si>
  <si>
    <t>1164665899</t>
  </si>
  <si>
    <t>St. Joseph Medical Center</t>
  </si>
  <si>
    <t>MH EMERUS TOMBALL, LLC-MEMORIAL HERMANN TOMBALL</t>
  </si>
  <si>
    <t>340639901</t>
  </si>
  <si>
    <t>1144651514</t>
  </si>
  <si>
    <t>TOPS SPECIALTY HOSPITAL, LTD-</t>
  </si>
  <si>
    <t>ORTHOPEDIC HOSPITAL LTD-TEXAS ORTHOPEDIC HOSPITAL</t>
  </si>
  <si>
    <t>ALL VALLEY SPEECH THERAPY PLLC-</t>
  </si>
  <si>
    <t>METHODIST HEALTH CENTERS-HOUSTON METHODIST WEST HOSPITAL</t>
  </si>
  <si>
    <t>Cornerstone Hospital of Houston - Bellaire</t>
  </si>
  <si>
    <t>1083668685</t>
  </si>
  <si>
    <t>CHG HOSPITAL CONROE LLC-CORNERSTONE SPECIALTY HOSPITALS CONROE</t>
  </si>
  <si>
    <t>HOUSTON PPH LLC-HCA HOUSTON HEALTHCARE MEDICAL CENTER</t>
  </si>
  <si>
    <t>CHCA CLEAR LAKE LP-HCA HOUSTON HEALTHCARE CLEAR LAKE</t>
  </si>
  <si>
    <t>MEMORIAL HERMANN REHABILITATION HOSPITAL KATY-</t>
  </si>
  <si>
    <t>THC HOUSTON LLC-KINDRED HOSPITAL HOUSTON NORTHWEST</t>
  </si>
  <si>
    <t>MEMORIAL HERMANN SUGAR LAND SURGICAL HOSPITAL LLP-SUGAR LAND SURGICAL HOSPITAL</t>
  </si>
  <si>
    <t>NEXUS SPECIALTY HOSPITAL - THE WOODLANDS LTD-NEXUS SPECIALTY HOSPITAL</t>
  </si>
  <si>
    <t>CHCA WOMANS HOSPITAL LP-THE WOMANS HOSPITAL OF TEXAS</t>
  </si>
  <si>
    <t>OAK BEND MEDICAL CENTER-OAKBEND MEDICAL CENTER</t>
  </si>
  <si>
    <t>C &amp; I HOLDINGS LLC-LONE STAR BEHAVORIAL HEALTH</t>
  </si>
  <si>
    <t>OCEANS BEHAVIORAL HOSPITAL OF KATY LLC-</t>
  </si>
  <si>
    <t>SHC KPH LP-KINGWOOD PINES HOSPITAL</t>
  </si>
  <si>
    <t>OCEANS BEHAVIORAL HOSPITAL OF PASADENA LLC-OCEANS BEHAVIORAL HOSPITAL OF PASADENA</t>
  </si>
  <si>
    <t>POST OAKS CARE CENTER</t>
  </si>
  <si>
    <t>WOODLAND SPINGS LLC-WOODLAND SPRINGS</t>
  </si>
  <si>
    <t>CYPRESS CREEK HOSPITAL INC</t>
  </si>
  <si>
    <t>HOUSTON BEHAVIORAL HEALTHCARE HOSPITAL, LLC-</t>
  </si>
  <si>
    <t>SACRED OAK MEDICAL CENTER, LLC-</t>
  </si>
  <si>
    <t>DAY STARS INC-</t>
  </si>
  <si>
    <t>APOLLO REHAB HOSPITAL LLC-SUGAR LAND REHAB HOSPITAL LLC</t>
  </si>
  <si>
    <t>WEST OAK HOSPITAL INC-TEXAS WEST OAKS HOSPITAL</t>
  </si>
  <si>
    <t>DEVEREUX FOUNDATION-DEVEREUX-TEXAS TREATMENT</t>
  </si>
  <si>
    <t>WESTPARK SPRINGS LLC-</t>
  </si>
  <si>
    <t>BEHAVIORAL HEALTH MANAGEMENT, LLC-</t>
  </si>
  <si>
    <t>INTRACARE HOSPITAL NORTH-INTRACARE NORTH HOSPITAL</t>
  </si>
  <si>
    <t>SUN HOUSTON, LLC-</t>
  </si>
  <si>
    <t>SHRINERS HOSPITALS FOR CHILDREN-</t>
  </si>
  <si>
    <t>HEALTHBRIDGE CHILDRENS HOSPITAL- HOUSTON LTD-HEALTHBRIDGE CHILDRENS HOSPITAL</t>
  </si>
  <si>
    <t>EL PASO COUNTY HOSPITAL DISTRICT-UNIVERSITY MEDICAL CENTER OF EL PASO</t>
  </si>
  <si>
    <t>TENET HOSPITALS LIMITED-THE HOSPITALS OF PROVIDENCE EAST CAMPUS</t>
  </si>
  <si>
    <t>EL PASO HEALTHCARE SYSTEM LTD-LAS PALMAS MEDICAL CENTER</t>
  </si>
  <si>
    <t>VIBRA REHABILITATION HOSPITAL OF EL PASO, LLC-HIGHLANDS REHABILITATION HOSPITAL</t>
  </si>
  <si>
    <t>TENET HOSPITALS LIMITED-THE HOSPITALS OF PROVIDENCE MEMORIAL CAMPUS</t>
  </si>
  <si>
    <t>EAST EL PASO PHYSICIANS MEDICAL CENTER LLC-FOUNDATION SURGICAL HOSPITAL OF EL PASO</t>
  </si>
  <si>
    <t>TENET HOSPITALS LIMITED-THE HOSPITALS OF PROVIDENCE TRANSMOUNTAIN CAMPUS</t>
  </si>
  <si>
    <t>EL PASO SPECIALTY HOSPITAL LTD-SURGICAL INSTITUTE OF EL PASO</t>
  </si>
  <si>
    <t>SIERRA MEDICAL CENTER-THE HOSPITAL OF PROVIDENCE SIERRA CAMPUS</t>
  </si>
  <si>
    <t>IHS HOSPITAL AT EL PASO</t>
  </si>
  <si>
    <t>1215937966</t>
  </si>
  <si>
    <t>EL PASO LTAC HOSPITAL</t>
  </si>
  <si>
    <t>190248801</t>
  </si>
  <si>
    <t>1194890103</t>
  </si>
  <si>
    <t>SCCI HOSPITAL EL PASO LLC-KINDRED HOSPITAL EL PASO</t>
  </si>
  <si>
    <t>HCN EP HORIZON CITY LLC-THE HOSPITALS OF PROVIDENCE HORIZON CITY CAMPUS</t>
  </si>
  <si>
    <t>ALTERNATIVES CENTRE FOR BEHA</t>
  </si>
  <si>
    <t>UNIVERSITY BEHAVIORAL HEALTH OF EL PASO LLC</t>
  </si>
  <si>
    <t>EL PASO BEHAVIORAL HOSPITAL LLC-RIO VISTA BEHAVIORAL HEALTH</t>
  </si>
  <si>
    <t>Emergence Health Network</t>
  </si>
  <si>
    <t>1033240353</t>
  </si>
  <si>
    <t>EL PASO CHILDRENS HOSPITAL-</t>
  </si>
  <si>
    <t>UTSOUTHWESTERN UNIVERSITY HOSPITAL ZALE LIPSHY</t>
  </si>
  <si>
    <t>BAYLOR MEDICAL CENTER AT IRVING-</t>
  </si>
  <si>
    <t>HEALTHSOUTH REHABILITATION HOSPITAL OF DALLAS LLC-HEALTHSOUTH REHABILITATION HOSPITAL OF DALLAS</t>
  </si>
  <si>
    <t>TEXAS HEART HOSPITAL OF THE SOUTHWEST LLP-BAYLOR SCOTT &amp; WHITE THE HEART HOSPITAL PLANO</t>
  </si>
  <si>
    <t>EBD BEMC ROCKWALL, LLC-BAYLOR EMERGENCY MEDICAL CENTER</t>
  </si>
  <si>
    <t>METHODIST MCKINNEY HOSPITAL LLC-</t>
  </si>
  <si>
    <t>REHABILITATION HOSPITAL OF MESQUITE LLC-MESQUITE REHABILITATION INSTITUTE</t>
  </si>
  <si>
    <t>FRISCO MEDICAL CENTER-BAYLOR SCOTT &amp; WHITE MEDICAL CENTER - FRISCO</t>
  </si>
  <si>
    <t>COLUMBIA MEDICAL CENTER OF LAS COLINAS, INC-LAS COLINAS MEDICAL CENTER</t>
  </si>
  <si>
    <t>PROMISE HOSPITAL OF DALLAS INC</t>
  </si>
  <si>
    <t>340716501</t>
  </si>
  <si>
    <t>1902237431</t>
  </si>
  <si>
    <t>DALLAS MEDICAL CENTER LLC-</t>
  </si>
  <si>
    <t>LANCASTER REGIONAL HOSPITAL LP-CRESCENT MEDICAL CENTER LANCASTER</t>
  </si>
  <si>
    <t>MESQUITE SPECIALTY HOSPITAL LP</t>
  </si>
  <si>
    <t>KINDRED HOSPITALS LIMITED PARTNERSHIP-KINDRED HOSPITAL-WHITE ROCK</t>
  </si>
  <si>
    <t>BAYLOR SCOTT &amp; WHITE MEDICAL CENTER - CENTENNIAL-</t>
  </si>
  <si>
    <t>PRIME HEALTHCARE SERVICES MESQUITE LLC-DALLAS REGIONAL MEDICAL CENTER</t>
  </si>
  <si>
    <t>TEXAS HEALTH PRESBYTERIAN HOSPTAL PLANO-</t>
  </si>
  <si>
    <t>PRHC ENNIS LP-ENNIS REGIONAL MEDICAL CENTER</t>
  </si>
  <si>
    <t>KINDRED HOSPITALS LIMITED PARTNERSHIP-KINDRED HOSPITAL- DALLAS</t>
  </si>
  <si>
    <t>COLUMBIA MEDICAL CENTER OF PLANO LP-MEDICAL CENTER OF PLANO</t>
  </si>
  <si>
    <t>COLUMBIA HOSPITAL MEDICAL CITY DALLAS, SUBSIDIARY-COLUMBIA HOSPITAL AT MEDICAL C</t>
  </si>
  <si>
    <t>Plano Specialty Hospital</t>
  </si>
  <si>
    <t>353871201</t>
  </si>
  <si>
    <t>1689068355</t>
  </si>
  <si>
    <t>KPC PROMISE HOSPITAL OF DALLAS, LLC-KPC PROMISE HOSPITAL OF DALLAS</t>
  </si>
  <si>
    <t>IRVING COPPELL SURGICAL HOSPITAL LLP-IRVING-COPPELL SURGICAL HOSPITAL LLP</t>
  </si>
  <si>
    <t>BAYLOR REGIONAL MEDICAL CENTER AT PLANO-</t>
  </si>
  <si>
    <t>ROCKWALL REGIONAL HOSPITAL LLC-TEXAS HEALTH PRESBYTERIAN HOSPITAL ROCKWALL</t>
  </si>
  <si>
    <t>TEXAS HEALTH PRESBYTERIAN HOSPITAL ALLEN-</t>
  </si>
  <si>
    <t>BIR JV LLP-BAYLOR INSTITUTE FOR REHABILITATION</t>
  </si>
  <si>
    <t>METHODIST HOSPITALS OF DALLAS-METHODIST DALLAS MEDICAL CENTER</t>
  </si>
  <si>
    <t>Methodist Rehabilitation Hospital</t>
  </si>
  <si>
    <t>1487848941</t>
  </si>
  <si>
    <t>TEXAS HEALTH PRESBYTERIAN HOSPITAL KAUFMAN-</t>
  </si>
  <si>
    <t>COLUMBIA MEDICAL CENTER OF MCKINNEY SUBSIDIARY LP-MEDICAL CENTER OF MCKINNEY</t>
  </si>
  <si>
    <t>CR EMERGENCY ROOM LLC-BAYLOR SCOTT AND WHITE EMERGENCY HOSPITAL</t>
  </si>
  <si>
    <t>TEXAS HEALTH PRESBYTERIAN HOSPITAL DALLAS-TEXAS PRESBYTERIAN HOSPITAL OF DALLAS</t>
  </si>
  <si>
    <t>MSH PARTNERS LLC-BAYLOR MEDICAL CENTER AT UPTOWN</t>
  </si>
  <si>
    <t>HEALTH SOUTH REHABILITATION HOSPITAL OF HUMBLE-</t>
  </si>
  <si>
    <t>DALLAS LTACH LLC-KINDRED HOSPITAL DALLAS CENTRAL</t>
  </si>
  <si>
    <t>BAYLOR INSTITUTE FOR REHABILITATION AT FRISCO-</t>
  </si>
  <si>
    <t>METHODIST HOSPITAL OF DALLAS-METHODIST CHARLTON MEDICAL CENTER</t>
  </si>
  <si>
    <t>TEXAS REGIONAL MEDICAL CENTER LTD-TEXAS REGIONAL MEDICAL CENTER AT SUNNYVALE</t>
  </si>
  <si>
    <t>LAKE POINTE MEDICAL CENTER-BAYLOR SCOTT &amp; WHITE MEDICAL CENTER LAKE POINTE</t>
  </si>
  <si>
    <t>SELECT SPECIALITY HOSPITAL-DALLAS, INC-</t>
  </si>
  <si>
    <t>HEALTHSOUTH PLANO REHABILITATION HOSPITAL LLC-HEALTHSOUTH PLANO REHABILITATION HOSPITAL</t>
  </si>
  <si>
    <t>BAYLOR MEDICAL CENTERS AT GARLAND AND MCKINNEY-BAYLOR SCOTT AND WHITE MEDICAL CENTER - MCKINNEY</t>
  </si>
  <si>
    <t>PIPELINE EAST DALLAS LLC-CITY HOSPITAL AT WHITE ROCK</t>
  </si>
  <si>
    <t>SELECT SPECIALTY HOSPITAL DALLAS INC-DALLAS SPECIALTY HOSPITAL DALLAS INC</t>
  </si>
  <si>
    <t>VIBRA SPECIALTY HOSPITAL OF DALLAS LLC-VIBRA HOSPITAL OF RICHARDSON</t>
  </si>
  <si>
    <t>POST ACUTE MEDICAL AT ALLEN LLC-PAM REHABILITATION HOSPITAL OF ALLEN</t>
  </si>
  <si>
    <t>METHODIST HOSPITALS OF DALLAS-METHODIST RICHARDSON MEDICAL CENTER</t>
  </si>
  <si>
    <t>1023338142</t>
  </si>
  <si>
    <t>HUNT MEMORIAL HOSPITAL DISTRICT-HUNT REGIONAL MEDICAL CENTER</t>
  </si>
  <si>
    <t>GLEN OAKS HOSPITAL INC-GLEN OAKS HOSPITAL</t>
  </si>
  <si>
    <t>GREEN OAKS HOSPITAL SUBSIDIA</t>
  </si>
  <si>
    <t>INNOVATIONS COMMUNITY MENTAL HEALTH CENTER-</t>
  </si>
  <si>
    <t>GARLAND BEHAVIORAL HOSPITAL</t>
  </si>
  <si>
    <t>DALLAS BEHAVIORAL HEALTHCARE HOSPITAL LLC-</t>
  </si>
  <si>
    <t>SRP BEHAVIORAL HOSPITAL OF PLANO LLC-WELLBRIDGE HEALTHCARE OF PLANO</t>
  </si>
  <si>
    <t>HICKORY TRAIL HOSPITAL LP</t>
  </si>
  <si>
    <t>TEXAS SCOTTISH RITE HOSPITAL FOR CRIPPLED CHILDREN-</t>
  </si>
  <si>
    <t>CHILDRENS MEDICAL CENTER OF DALLAS-CHILDREN'S MEDICAL CENTER PLANO</t>
  </si>
  <si>
    <t>OCH HOLDINGS-OUR CHILDRENS HOUSE</t>
  </si>
  <si>
    <t>CHILDRENS MEDICAL CENTER OF DALLAS-CHILDRENS MEDICAL CENTER</t>
  </si>
  <si>
    <t>BEXAR COUNTY HOSPITAL DISTRICT-UNIVERSITY HEALTH SYSTEM</t>
  </si>
  <si>
    <t>WILSON COUNTY MEMORIAL HOSPITAL DISTRICT-CONNALLY MEMORIAL MEDICAL CENTER</t>
  </si>
  <si>
    <t>METHODIST HEALTHCARE SYSTEM OF SAN ANTONIO LTD LLP-METHODIST HOSPITAL SOUTH</t>
  </si>
  <si>
    <t>NEW SAN ANTONIO SPECIALTY HOSPITAL LLC-LIFE CARE HOSPITALS OF SAN ANTONIO</t>
  </si>
  <si>
    <t>329623801</t>
  </si>
  <si>
    <t>1942643804</t>
  </si>
  <si>
    <t>SOUTHWEST GENERAL HOSPITAL LP-SOUTHWEST GENERAL HOSPITAL</t>
  </si>
  <si>
    <t>METHODIST HEALTHCARE SYSTEM OF SAN ANTONIO LTD LLP-METHODIST AMBULATORY SURGERY</t>
  </si>
  <si>
    <t>NEW BRAUNFELS REG REHAB HOSP INC-</t>
  </si>
  <si>
    <t>POST ACUTE MEDICAL OF NEW BRAUNFELS LLC-WARM SPRINGS SPECIALTY HOSPITAL OF NEW BRAUNFELS</t>
  </si>
  <si>
    <t>EMERUS BHS SA THOUSAND OAKS LLC-BAPTIST EMERGENCY HOSPITAL SHAVANO PARK</t>
  </si>
  <si>
    <t>METHODIST HEALTHCARE SYSTEM OF SAN ANTONIO LTD LLP-METHODIST STONE OAK HOSPITAL</t>
  </si>
  <si>
    <t>WARM SPRINGS SPECIALTY HOSPITAL OF SAN ANTONIO LLC-PAM SPECIALTY HOSPITAL OF SAN ANTONIO</t>
  </si>
  <si>
    <t>ENLIGHTENED BEHAVIORAL HEALTH SYSTEMS LLC-</t>
  </si>
  <si>
    <t>VHS SAN ANTONIO PARTNERS LLC-BAPTIST MEDICAL CENTER</t>
  </si>
  <si>
    <t>CUMBERLAND SURGICAL HOSPITAL OF SAN ANTONIO LLC-</t>
  </si>
  <si>
    <t>GLOBALREHAB SAN ANTONIO LP-SELECT REHABILITATION HOSPITAL OF SAN ANTONIO</t>
  </si>
  <si>
    <t>KND DEVELOPMENT 68, LLC-KINDRED HOSPITAL - SAN ANTONIO CENTRAL</t>
  </si>
  <si>
    <t>KINDRED HOSPITALS LIMITED PARTNERSHIP-KINDRED HOSPITALS SAN ANTONIO</t>
  </si>
  <si>
    <t>RESOLUTE HOSPITAL COMPANY LLC-</t>
  </si>
  <si>
    <t>ORTHOPEDIC AND SPINE SURGICAL HOSPITAL OF S TX LP-SOUTH TEXAS SPINE AND SURGICAL HOSPITAL LP</t>
  </si>
  <si>
    <t>ACUITY HOSPITAL OF SOUTH TEXAS LLC</t>
  </si>
  <si>
    <t>203965301</t>
  </si>
  <si>
    <t>1235392192</t>
  </si>
  <si>
    <t>CHRISTUS SANTA ROSA HEALTH CARE CORPORATION-CHRISTUS SANTA ROSA HOSPITAL</t>
  </si>
  <si>
    <t>GUADALUPE COUNTY HOSPITAL BOARD-GUADALUPE REGIONAL MEDICAL CENTER</t>
  </si>
  <si>
    <t>SAN ANTONIO BEHAVIORAL HEALTHCARE HOSPITAL, LLC-</t>
  </si>
  <si>
    <t>TEXAS LAUREL RIDGE HOSPITAL LP-LAUREL RIDGE TREATMENT CENTER</t>
  </si>
  <si>
    <t>CHRISTUS SANTA ROSA HEALTH CARE CORPORATION-CHRISTUS SANTA ROSA CHILDRENS</t>
  </si>
  <si>
    <t>Total OP</t>
  </si>
  <si>
    <t>Total IP</t>
  </si>
  <si>
    <t>Non-OP</t>
  </si>
  <si>
    <t>OP</t>
  </si>
  <si>
    <t>Provider Name</t>
  </si>
  <si>
    <t>Hospital Class</t>
  </si>
  <si>
    <t>Urban</t>
  </si>
  <si>
    <t>409204101</t>
  </si>
  <si>
    <t>1902366305</t>
  </si>
  <si>
    <t>407926101</t>
  </si>
  <si>
    <t>1144781501</t>
  </si>
  <si>
    <t>408600101</t>
  </si>
  <si>
    <t>1245878990</t>
  </si>
  <si>
    <t>133257904</t>
  </si>
  <si>
    <t>1841354677</t>
  </si>
  <si>
    <t>1477507432</t>
  </si>
  <si>
    <t>121053605</t>
  </si>
  <si>
    <t>405102101</t>
  </si>
  <si>
    <t>Rural</t>
  </si>
  <si>
    <t>GEORGETOWN BEHAVIORAL HEALTH INSTITUTE, LLC</t>
  </si>
  <si>
    <t>GLEN OAKS HOSPITAL</t>
  </si>
  <si>
    <t>HAVEN BEHAVIORAL HOSPITAL OF FRISCO</t>
  </si>
  <si>
    <t>HOUSTON BEHAVIORAL HEALTHCARE HOSPITAL, LLC</t>
  </si>
  <si>
    <t>INTRACARE NORTH HOSPITAL</t>
  </si>
  <si>
    <t>MESA SPRINGS, LLC</t>
  </si>
  <si>
    <t>ROCK SPRINGS, LLC</t>
  </si>
  <si>
    <t>SAN ANTONIO BEHAVIORAL HEALTHCARE HOSPITAL, LLC</t>
  </si>
  <si>
    <t>SUN HOUSTON, LLC</t>
  </si>
  <si>
    <t>021194801</t>
  </si>
  <si>
    <t>1326052226</t>
  </si>
  <si>
    <t>137918204</t>
  </si>
  <si>
    <t>1881600682</t>
  </si>
  <si>
    <t>021195501</t>
  </si>
  <si>
    <t>1477669208</t>
  </si>
  <si>
    <t>021196301</t>
  </si>
  <si>
    <t>1245344472</t>
  </si>
  <si>
    <t>1821161167</t>
  </si>
  <si>
    <t>133331202</t>
  </si>
  <si>
    <t>1942218581</t>
  </si>
  <si>
    <t>138706004</t>
  </si>
  <si>
    <t>1972511921</t>
  </si>
  <si>
    <t>112751605</t>
  </si>
  <si>
    <t>1720094550</t>
  </si>
  <si>
    <t>137919003</t>
  </si>
  <si>
    <t>1992713119</t>
  </si>
  <si>
    <t>109966502</t>
  </si>
  <si>
    <t>1366450538</t>
  </si>
  <si>
    <t>127320302</t>
  </si>
  <si>
    <t>1407862170</t>
  </si>
  <si>
    <t>NA</t>
  </si>
  <si>
    <t>021187203</t>
  </si>
  <si>
    <t>Number of Hospitals</t>
  </si>
  <si>
    <t>395673201</t>
  </si>
  <si>
    <t>NOCONA GENERAL HOSPITAL</t>
  </si>
  <si>
    <t>SRP OCEANS HOSPITAL OF FORTWORTH LLC</t>
  </si>
  <si>
    <t>1326015595</t>
  </si>
  <si>
    <t>112742503</t>
  </si>
  <si>
    <t>OLNEY HAMILTON HOSPITAL DISTRICT</t>
  </si>
  <si>
    <t>IP ACR Gap</t>
  </si>
  <si>
    <t>412747401</t>
  </si>
  <si>
    <t>OP ACR Gap</t>
  </si>
  <si>
    <t>Memorial Medical Center</t>
  </si>
  <si>
    <t>Columbus Community Hospital</t>
  </si>
  <si>
    <t>Harris County Hospital District</t>
  </si>
  <si>
    <t>Shannon Medical Center</t>
  </si>
  <si>
    <t>Baylor All Saints Medical Center</t>
  </si>
  <si>
    <t>Lynn County Hospital District</t>
  </si>
  <si>
    <t>Hemphill County Hospital District</t>
  </si>
  <si>
    <t>Concho County Hospital</t>
  </si>
  <si>
    <t>Baylor University Medical Center</t>
  </si>
  <si>
    <t>Hendrick Medical Center</t>
  </si>
  <si>
    <t>Yoakum Community Hospital</t>
  </si>
  <si>
    <t>Knapp Medical Center</t>
  </si>
  <si>
    <t>Woodland Heights Medical Center</t>
  </si>
  <si>
    <t>Driscoll Children's Hospital</t>
  </si>
  <si>
    <t>Corpus Christi Medical Center</t>
  </si>
  <si>
    <t>Electra Memorial Hospital</t>
  </si>
  <si>
    <t>2021 Master TPI</t>
  </si>
  <si>
    <t>OCHSNER MEDICAL CENTER - BATON ROUGE, LLC</t>
  </si>
  <si>
    <t>UNIVERSITY OF TEXAS HEALTH SCIENCE CENTER AT HOUSTON DBA THE UNIVERSITY OF TX HARRIS</t>
  </si>
  <si>
    <t>HHSC (AUSTIN STATE HOSPITAL)</t>
  </si>
  <si>
    <t>HHSC (NORTH TEXAS STATE HOSPITAL WICHITA FALLS)</t>
  </si>
  <si>
    <t>HHSC (NORTH TEXAS STATE HOSPITAL VERNON)</t>
  </si>
  <si>
    <t>TEXAS CYPRESS CREEK HOSPITAL</t>
  </si>
  <si>
    <t>CEDAR CREST HOSPITAL</t>
  </si>
  <si>
    <t>HHSC (RIO GRANDE STATE CENTER)</t>
  </si>
  <si>
    <t>GREEN OAKS</t>
  </si>
  <si>
    <t>LAUREL RIDGE A BROWN SCHOOLS</t>
  </si>
  <si>
    <t>CLARITY CHILD GUIDANCE CENTER</t>
  </si>
  <si>
    <t>RIVER CREST HOSPITAL INC</t>
  </si>
  <si>
    <t>HHSC (EL PASO PSYCHIATRIC CENTER)</t>
  </si>
  <si>
    <t>WEST OAK HOSPITAL INC.</t>
  </si>
  <si>
    <t>HHSC (TERRELL STATE HOSPITAL)</t>
  </si>
  <si>
    <t>HHSC (SAN ANTONIO STATE HOSPITAL)</t>
  </si>
  <si>
    <t>KINGWOOD PINES HOSPITAL, INC</t>
  </si>
  <si>
    <t>UNIVERSITY BEHAVIORAL HEALTH OF DENTON</t>
  </si>
  <si>
    <t>AUSTIN LAKES HOSPITAL @ ST. DAVID'S</t>
  </si>
  <si>
    <t>HAVEN RED RIVER HOSPITAL LLC</t>
  </si>
  <si>
    <t>BEHAVIORAL HOSPITAL OF BELLAIRE</t>
  </si>
  <si>
    <t>C &amp; I HOLDINGS LLC</t>
  </si>
  <si>
    <t>TEXAS OAKS PSYCHIATRIC HOSPITAL LP</t>
  </si>
  <si>
    <t>CROSS CREEK HOSPITAL</t>
  </si>
  <si>
    <t>WESTPARK SPRINGS LLC</t>
  </si>
  <si>
    <t>DALLAS BEHAVIORAL HEALTHCARE HOSPITAL LLC</t>
  </si>
  <si>
    <t>OCEANS BEHAVORIAL HOSPITAL OF LUFKIN LLC</t>
  </si>
  <si>
    <t>OCEANS BEHAVIORAL HOSPITAL OF ABILENE LLC</t>
  </si>
  <si>
    <t>BEHAVIORAL HEALTH CENTER OF THE PERMIAN BASIN LLC</t>
  </si>
  <si>
    <t>AUDUBON BEHAVIORAL HEALTHCARE OF LONGVIEW LLC</t>
  </si>
  <si>
    <t>OCEANS BEHAVIORAL HOSPITAL OF KATY LLC</t>
  </si>
  <si>
    <t>SRP OCEANS HOSPITAL OF PLANO, LLC</t>
  </si>
  <si>
    <t>PALMS BEHAVIORAL HEALTH</t>
  </si>
  <si>
    <t>OCEANS BEHAVIORAL HOSPITAL OF SAN MARCOS</t>
  </si>
  <si>
    <t>Combined Rates Class &amp; SDA</t>
  </si>
  <si>
    <t>Grand Total</t>
  </si>
  <si>
    <t>Total UPL Gap</t>
  </si>
  <si>
    <t>Inpatient Rate Class</t>
  </si>
  <si>
    <t>HANSFORD COUNTY HOSPITAL DISTRICT</t>
  </si>
  <si>
    <t>UNITED REGIONAL HEALTH CARE SYSTEM</t>
  </si>
  <si>
    <t>Sum of Hdr MCO Pd Amt</t>
  </si>
  <si>
    <t>Non-State-Owned IMD</t>
  </si>
  <si>
    <t>State-Owned Non-IMD</t>
  </si>
  <si>
    <t>State-Owned IMD</t>
  </si>
  <si>
    <t>STAR</t>
  </si>
  <si>
    <t>STAR+PLUS</t>
  </si>
  <si>
    <t>Total</t>
  </si>
  <si>
    <t>Check: Scenario Tab</t>
  </si>
  <si>
    <t>Differences</t>
  </si>
  <si>
    <t>Program</t>
  </si>
  <si>
    <t xml:space="preserve">STAR      </t>
  </si>
  <si>
    <t xml:space="preserve">STAR+PLUS </t>
  </si>
  <si>
    <t xml:space="preserve">STAR </t>
  </si>
  <si>
    <t>Totals:</t>
  </si>
  <si>
    <t>Class</t>
  </si>
  <si>
    <t>Full ACR Gap</t>
  </si>
  <si>
    <t>Total CHIRP Payment</t>
  </si>
  <si>
    <t>Inpatient Medicaid Base Payments</t>
  </si>
  <si>
    <t>Inpatient Pass-Through Payments</t>
  </si>
  <si>
    <t>Outpatient Medicaid Base Payments</t>
  </si>
  <si>
    <t>TPI</t>
  </si>
  <si>
    <t>Baptist Hospitals of Southeast Texas</t>
  </si>
  <si>
    <t>Dimmit Regional Hospital</t>
  </si>
  <si>
    <t>Medical City Las Colinas</t>
  </si>
  <si>
    <t>Medical City Green Oaks</t>
  </si>
  <si>
    <t>Medical City Alliance</t>
  </si>
  <si>
    <t>Medical City Plano</t>
  </si>
  <si>
    <t>Medical City Dallas</t>
  </si>
  <si>
    <t>Medical City Weatherford</t>
  </si>
  <si>
    <t>Medical City Arlington</t>
  </si>
  <si>
    <t>Medical City Fort Worth</t>
  </si>
  <si>
    <t>Medical City North Hills</t>
  </si>
  <si>
    <t>Medical City Lewisville</t>
  </si>
  <si>
    <t>Medical City Denton</t>
  </si>
  <si>
    <t>Medical City McKinney</t>
  </si>
  <si>
    <t>Methodist Hospital South</t>
  </si>
  <si>
    <t>Methodist Stone Oak Hospital</t>
  </si>
  <si>
    <t>Round Rock Medical Center</t>
  </si>
  <si>
    <t>North Austin Medical Center</t>
  </si>
  <si>
    <t>St. David's Medical Center</t>
  </si>
  <si>
    <t>Lubbock County Hospital District</t>
  </si>
  <si>
    <t>Methodist Hospital</t>
  </si>
  <si>
    <t>Big Bend Regional Medical Center</t>
  </si>
  <si>
    <t>Palestine Principal Healthcare Limited Partnership</t>
  </si>
  <si>
    <t>Parkview Regional Hospital</t>
  </si>
  <si>
    <t>Lake Granbury Hospital</t>
  </si>
  <si>
    <t>Laredo Medical Center</t>
  </si>
  <si>
    <t>St. Mark's Medical Center</t>
  </si>
  <si>
    <t>Cedar Park Regional Medical Center</t>
  </si>
  <si>
    <t>Cook Children's Medical Center</t>
  </si>
  <si>
    <t>Detar Hospitals</t>
  </si>
  <si>
    <t>Longview RMC</t>
  </si>
  <si>
    <t>Navarro Regional Hospital</t>
  </si>
  <si>
    <t>Eastland Memorial Hospital District</t>
  </si>
  <si>
    <t>Ascension Providence</t>
  </si>
  <si>
    <t>Ascension Seton Medical Center Austin</t>
  </si>
  <si>
    <t>Ascension Seton Northwest</t>
  </si>
  <si>
    <t>Ascension Seton Highland Lakes</t>
  </si>
  <si>
    <t>Ascension Seton Shoal Creek</t>
  </si>
  <si>
    <t>Ascension Seton Southwest</t>
  </si>
  <si>
    <t>Ascension Seton Hays</t>
  </si>
  <si>
    <t>Dell Children's Medical Center</t>
  </si>
  <si>
    <t>Ascension Seton Williamson</t>
  </si>
  <si>
    <t>Ascension Seton Smithville</t>
  </si>
  <si>
    <t>Dell Seton Medical Center at University of Texas</t>
  </si>
  <si>
    <t>Mitchell County Hospital District</t>
  </si>
  <si>
    <t>Moore County Hospital District</t>
  </si>
  <si>
    <t>Covenant Medical Center</t>
  </si>
  <si>
    <t>Hunt Regional Medical Center</t>
  </si>
  <si>
    <t>Baylor Medical Center at Waxahachie</t>
  </si>
  <si>
    <t>Baylor Regional Medical Center at Grapevine</t>
  </si>
  <si>
    <t>Children's Bexar</t>
  </si>
  <si>
    <t>Children's Dallas</t>
  </si>
  <si>
    <t>Children's El Paso</t>
  </si>
  <si>
    <t>Children's Harris</t>
  </si>
  <si>
    <t>Children's Lubbock</t>
  </si>
  <si>
    <t>Children's Nueces</t>
  </si>
  <si>
    <t>Children's Tarrant</t>
  </si>
  <si>
    <t>Children's Travis</t>
  </si>
  <si>
    <t>Urban Harris</t>
  </si>
  <si>
    <t>Urban Dallas</t>
  </si>
  <si>
    <t>Urban Bexar</t>
  </si>
  <si>
    <t>State-Owned Non-IMD Harris</t>
  </si>
  <si>
    <t>Urban MRSA Central</t>
  </si>
  <si>
    <t>Urban Hidalgo</t>
  </si>
  <si>
    <t>Urban Tarrant</t>
  </si>
  <si>
    <t>Urban Lubbock</t>
  </si>
  <si>
    <t>Urban Nueces</t>
  </si>
  <si>
    <t>Urban El Paso</t>
  </si>
  <si>
    <t>Urban Travis</t>
  </si>
  <si>
    <t>Urban MRSA Northeast</t>
  </si>
  <si>
    <t>Urban MRSA West</t>
  </si>
  <si>
    <t>Urban Jefferson</t>
  </si>
  <si>
    <t>State-Owned Non-IMD Dallas</t>
  </si>
  <si>
    <t>State-Owned Non-IMD MRSA Northeast</t>
  </si>
  <si>
    <t>Rural Hidalgo</t>
  </si>
  <si>
    <t>Rural MRSA Northeast</t>
  </si>
  <si>
    <t>Rural MRSA West</t>
  </si>
  <si>
    <t>Rural Tarrant</t>
  </si>
  <si>
    <t>Non-State-Owned IMD Tarrant</t>
  </si>
  <si>
    <t>Non-State-Owned IMD Harris</t>
  </si>
  <si>
    <t>Non-State-Owned IMD El Paso</t>
  </si>
  <si>
    <t>Non-State-Owned IMD Dallas</t>
  </si>
  <si>
    <t>Non-State-Owned IMD Bexar</t>
  </si>
  <si>
    <t>State-Owned IMD MRSA West</t>
  </si>
  <si>
    <t>Rural Harris</t>
  </si>
  <si>
    <t>Rural Jefferson</t>
  </si>
  <si>
    <t>Rural Dallas</t>
  </si>
  <si>
    <t>Rural Nueces</t>
  </si>
  <si>
    <t>Rural Travis</t>
  </si>
  <si>
    <t>Rural Bexar</t>
  </si>
  <si>
    <t>Rural Lubbock</t>
  </si>
  <si>
    <t>Non-State-Owned IMD Travis</t>
  </si>
  <si>
    <t>Non-State-Owned IMD Hidalgo</t>
  </si>
  <si>
    <t>Rural MRSA Central</t>
  </si>
  <si>
    <t>Non-State-Owned IMD MRSA Central</t>
  </si>
  <si>
    <t>State-Owned IMD Harris</t>
  </si>
  <si>
    <t>Non-State-Owned IMD MRSA West</t>
  </si>
  <si>
    <t>State-Owned IMD El Paso</t>
  </si>
  <si>
    <t>State-Owned IMD Travis</t>
  </si>
  <si>
    <t>State-Owned IMD Dallas</t>
  </si>
  <si>
    <t>Non-State-Owned IMD Lubbock</t>
  </si>
  <si>
    <t>State-Owned IMD Bexar</t>
  </si>
  <si>
    <t>State-Owned Non-IMD Bexar</t>
  </si>
  <si>
    <t>State-Owned IMD Hidalgo</t>
  </si>
  <si>
    <t>State-Owned IMD MRSA Central</t>
  </si>
  <si>
    <t>State-Owned IMD MRSA Northeast</t>
  </si>
  <si>
    <t>Non-State-Owned IMD MRSA Northeast</t>
  </si>
  <si>
    <t>IP Medicare UPL Gap</t>
  </si>
  <si>
    <t>OP Medicare UPL Gap</t>
  </si>
  <si>
    <t>Total Medicare UPL Gap</t>
  </si>
  <si>
    <t>IP UHRIP Payment</t>
  </si>
  <si>
    <t>OP UHRIP Payment</t>
  </si>
  <si>
    <t>Total UHRIP Payment</t>
  </si>
  <si>
    <t>UHRIP Rate Increase based on IP Medicare Gap</t>
  </si>
  <si>
    <t>UHRIP Rate Increase based on OP Medicare Gap</t>
  </si>
  <si>
    <t>415580601</t>
  </si>
  <si>
    <t>Clarity Child Guidance Center
8535 Tom Slick Drive
San Antonio, TX 78229</t>
  </si>
  <si>
    <t>Non-state-owned IMD</t>
  </si>
  <si>
    <t>414962701</t>
  </si>
  <si>
    <t>Ascension Seton Bastrop</t>
  </si>
  <si>
    <t>El Paso Behavioral Health, LLC DBA Rio Vista Behavioral Health</t>
  </si>
  <si>
    <t>414763901</t>
  </si>
  <si>
    <t>1104381292</t>
  </si>
  <si>
    <t>Encompass Health Rehabilitation Hospital of Pearland</t>
  </si>
  <si>
    <t>413256501</t>
  </si>
  <si>
    <t>1154893675</t>
  </si>
  <si>
    <t>South Plains Rehabilitation Hospital, an affiliate of UMC and Encompass Health</t>
  </si>
  <si>
    <t>Pending</t>
  </si>
  <si>
    <t>1487271375</t>
  </si>
  <si>
    <t>Methodist Midlothian Medical Center</t>
  </si>
  <si>
    <t>420957901</t>
  </si>
  <si>
    <t>1184233785</t>
  </si>
  <si>
    <t>BAYLOR SCOTT &amp; WHITE MEDICAL CENTERS - CAPITOL AREA</t>
  </si>
  <si>
    <t>CHIRP Class</t>
  </si>
  <si>
    <t>Mission Hospital, Inc.</t>
  </si>
  <si>
    <t>Dallas Behavioral Healthcare Hospital</t>
  </si>
  <si>
    <t>Jack County Hospital District dba Faith Community Hospital</t>
  </si>
  <si>
    <t>Bosque County Hospital District dba Goodall-Witcher Hospital</t>
  </si>
  <si>
    <t>121776204</t>
  </si>
  <si>
    <t>171848801</t>
  </si>
  <si>
    <t>Scott &amp; White Hospital - Brenham</t>
  </si>
  <si>
    <t>Scott &amp; White Continuing Care Hospital</t>
  </si>
  <si>
    <t>Lake Pointe Operating Company, LLC</t>
  </si>
  <si>
    <t>Scott &amp; White Hospital - Taylor</t>
  </si>
  <si>
    <t>THHBP Management Company LLC</t>
  </si>
  <si>
    <t xml:space="preserve">GAINESVILLE COMMUNITY HOSPITAL, INC DBA NORTH TEXAS MEDICAL CENTER </t>
  </si>
  <si>
    <t xml:space="preserve">Fort Duncan Medical Center
</t>
  </si>
  <si>
    <t xml:space="preserve">Laredo Regional Medical Center LP
</t>
  </si>
  <si>
    <t xml:space="preserve">Northwest Texas Healthcare System
</t>
  </si>
  <si>
    <t xml:space="preserve">McAllen Hospital LP
</t>
  </si>
  <si>
    <t xml:space="preserve">UHS of Texoma
</t>
  </si>
  <si>
    <t xml:space="preserve">Cornerstone Regional Hospital 
</t>
  </si>
  <si>
    <t xml:space="preserve">Fannin County Hospital Authority
</t>
  </si>
  <si>
    <t>W.J. Mangold Memorial Hospital</t>
  </si>
  <si>
    <t>USMD Hospital at Arlington, L.P.</t>
  </si>
  <si>
    <t>Doctors Hospital at Renaissance, Ltd.</t>
  </si>
  <si>
    <t xml:space="preserve">Austin Lakes Hospital
</t>
  </si>
  <si>
    <t>191968001</t>
  </si>
  <si>
    <t>Parkview Hospital</t>
  </si>
  <si>
    <t xml:space="preserve">Hickory Trail
</t>
  </si>
  <si>
    <t>Children's Health Plano</t>
  </si>
  <si>
    <t>Citizens Medical Center County of Victoria</t>
  </si>
  <si>
    <t xml:space="preserve"> St. Luke's Community Health Services - The Woodlands 
</t>
  </si>
  <si>
    <t xml:space="preserve"> St. Luke's Lakeside Hospital 
</t>
  </si>
  <si>
    <t xml:space="preserve"> St. Luke's Hospital at The Vintage 
</t>
  </si>
  <si>
    <t xml:space="preserve"> St. Luke's Patients Medical Center 
</t>
  </si>
  <si>
    <t xml:space="preserve"> The Community Hospital of Brazosport 
</t>
  </si>
  <si>
    <t xml:space="preserve"> Memorial Medical Center of East Texas  
</t>
  </si>
  <si>
    <t xml:space="preserve"> Memorial Hospital - San Augustine  
</t>
  </si>
  <si>
    <t xml:space="preserve"> CHI St. Joseph Regional Health Center   
</t>
  </si>
  <si>
    <t xml:space="preserve"> CHI St. Joseph Health - Grimes 
</t>
  </si>
  <si>
    <t xml:space="preserve"> CHI  St. Joseph Health -  Burleson 
</t>
  </si>
  <si>
    <t>HMIH Cedar Crest, LLC</t>
  </si>
  <si>
    <t>Red River Hospital</t>
  </si>
  <si>
    <t>Bexar County Hospital District d/b/a University Health</t>
  </si>
  <si>
    <t>Fisher County Hospital District</t>
  </si>
  <si>
    <t>Texas Health Huguley, Inc. dba Texas Health Huguley Hospital Fort Worth South</t>
  </si>
  <si>
    <t>Dallas County Hospital District</t>
  </si>
  <si>
    <t>Hardeman County Memorial Hospital</t>
  </si>
  <si>
    <t>Dawson County Hospital District dba Medical Arts Hospital</t>
  </si>
  <si>
    <t>Preferred Hospital Leasing Muleshoe, Inc. dba Muleshoe Area Medical Center</t>
  </si>
  <si>
    <t>Muenster Memorial Hospital</t>
  </si>
  <si>
    <t>Martin County Hospital District</t>
  </si>
  <si>
    <t>Bellville Medical Center</t>
  </si>
  <si>
    <t>Texas Children’s Hospital</t>
  </si>
  <si>
    <t>Somervell County Hospital District</t>
  </si>
  <si>
    <t>Uvalde County Hospital Authority</t>
  </si>
  <si>
    <t xml:space="preserve">Memorial Hermann - Texas Medical center
</t>
  </si>
  <si>
    <t>Preferred Hospital Leasing Junction, Inc. dba Kimble Hospital</t>
  </si>
  <si>
    <t>Encompass Health Rehabilitation Hospital of Humble</t>
  </si>
  <si>
    <t>220238401</t>
  </si>
  <si>
    <t>Comanche County Medical Center</t>
  </si>
  <si>
    <t>Falls Community Hospital and Clinic</t>
  </si>
  <si>
    <t>Preferred Hospital Leasing Hemphill, Inc. dba Sabine County Hospital</t>
  </si>
  <si>
    <t xml:space="preserve">Texas Health Harris Methodist Hospital Fort Worth
</t>
  </si>
  <si>
    <t xml:space="preserve">Texas Health Harris Methodist Hospital Azle
</t>
  </si>
  <si>
    <t xml:space="preserve">Texas Health Harris Methodist Hospital Southwest Fort Worth
</t>
  </si>
  <si>
    <t xml:space="preserve">Texas Health Harris Methodist Hospital Hurst-Euless-Bedford
</t>
  </si>
  <si>
    <t xml:space="preserve">Texas Health Harris Methodist Hospital Cleburne
</t>
  </si>
  <si>
    <t xml:space="preserve">Texas Health Harris Methodist Hospital Stephenville
</t>
  </si>
  <si>
    <t xml:space="preserve">Texas Health Presbyterian Hospital Dallas
</t>
  </si>
  <si>
    <t xml:space="preserve">Texas Health Presbyterian Hospital Kaufman
</t>
  </si>
  <si>
    <t xml:space="preserve">Texas Health Presbyterian Hospital Plano
</t>
  </si>
  <si>
    <t xml:space="preserve">Texas Health Presbyterian Hospital Allen
</t>
  </si>
  <si>
    <t xml:space="preserve">Texas Health Arlington Memorial Hospital
</t>
  </si>
  <si>
    <t xml:space="preserve">Texas Health Presbyterian Hospital Denton
</t>
  </si>
  <si>
    <t xml:space="preserve">Texas Health Harris Methodist Hospital Alliance
</t>
  </si>
  <si>
    <t xml:space="preserve">Texas Health Heart Hospital
</t>
  </si>
  <si>
    <t xml:space="preserve">Texas Health Rockwall
</t>
  </si>
  <si>
    <t xml:space="preserve">Texas Health Southlake
</t>
  </si>
  <si>
    <t xml:space="preserve">Texas Health Center Diagnostic and Surgery
</t>
  </si>
  <si>
    <t xml:space="preserve">Texas Health Flower Mound
</t>
  </si>
  <si>
    <t>HCA Houston Clear Lake</t>
  </si>
  <si>
    <t>HCA Houston Conroe</t>
  </si>
  <si>
    <t>HCA Houston Southeast</t>
  </si>
  <si>
    <t>HCA Houston Medical Center</t>
  </si>
  <si>
    <t>HCA Houston Northwest</t>
  </si>
  <si>
    <t>Texas Orthopedic Hospital</t>
  </si>
  <si>
    <t>Encompass Health Rehabilitation Hospital of Abilene</t>
  </si>
  <si>
    <t>Encompass Health Rehabilitation Hospital of Arlington</t>
  </si>
  <si>
    <t>Encompass Health Rehabilitation Hospital of Austin</t>
  </si>
  <si>
    <t>CHI St. Joseph Health Rehabilitation Hospital, an affiliate of Encompass Health</t>
  </si>
  <si>
    <t>Encompass Health Rehabilitation Hospital of City View</t>
  </si>
  <si>
    <t>Encompass Health Rehabilitation Hospital of Cypress</t>
  </si>
  <si>
    <t>HCA Houston West</t>
  </si>
  <si>
    <t>Encompass Health Rehabilitation Hospital of Dallas</t>
  </si>
  <si>
    <t>Encompass Health Rehabilitation Hospital of the Mid-Cities</t>
  </si>
  <si>
    <t>Swisher Memorial Healthcare System</t>
  </si>
  <si>
    <t>Encompass Health Rehabilitation Hospital of Midland Odessa</t>
  </si>
  <si>
    <t xml:space="preserve">The Hospitals of Providence Memorial Campus
</t>
  </si>
  <si>
    <t>HCA Houston Tomball</t>
  </si>
  <si>
    <t>Refugio County Memorial Hospital District</t>
  </si>
  <si>
    <t>Encompass Health Rehabilitation Hospital of Plano</t>
  </si>
  <si>
    <t>HCA Houston Kingwood</t>
  </si>
  <si>
    <t>Encompass Health Rehabilitation Hospital of Richardson</t>
  </si>
  <si>
    <t>Encompass Health Rehabilitation Hospital of Round Rock</t>
  </si>
  <si>
    <t>Encompass Health Rehabilitation Hospital of San Antonio</t>
  </si>
  <si>
    <t>Valley Regional Medical Center</t>
  </si>
  <si>
    <t xml:space="preserve">The Hospitals of Providence East Campus
</t>
  </si>
  <si>
    <t>Wilson County Memorial Hospital District dba Connally Memorial Medical Center</t>
  </si>
  <si>
    <t xml:space="preserve">The Hospitals of Providence Transmountain Campus
</t>
  </si>
  <si>
    <t xml:space="preserve">Nacogdoches Medical Center
</t>
  </si>
  <si>
    <t xml:space="preserve">Resolute Hospital Company LLC
</t>
  </si>
  <si>
    <t xml:space="preserve">VHS San Antonio Partners LLC
</t>
  </si>
  <si>
    <t xml:space="preserve">Valley Baptist Medical Center - Harlingen
</t>
  </si>
  <si>
    <t xml:space="preserve">Valley Baptist Medical Center - Brownsville
</t>
  </si>
  <si>
    <t>HH Killeen Health System LLC-Seton Medical Center Harker Heights</t>
  </si>
  <si>
    <t>Medical Center Health System</t>
  </si>
  <si>
    <t xml:space="preserve">The Hospitals of Providence Sierra Campus
</t>
  </si>
  <si>
    <t>KNOX COUNTY HOSPITAL DISTRICT</t>
  </si>
  <si>
    <t>Encompass Health Rehabilitation Hospital of Sugar Land</t>
  </si>
  <si>
    <t>Encompass Health Rehabilitation Hospital of Texarkana</t>
  </si>
  <si>
    <t>1447883301</t>
  </si>
  <si>
    <t>Encompass Health Rehabilitation Hospital The Vintage</t>
  </si>
  <si>
    <t>Encompass Health Rehabilitation Hospital of The Woodlands</t>
  </si>
  <si>
    <t>Preferred Hospital Leasing Coleman, Inc. dba Coleman County Medical Center</t>
  </si>
  <si>
    <t>Jackson County Hospital District</t>
  </si>
  <si>
    <t>Christus Trinity Mother Frances Rehabilitation Hospital, a partner of Encompass Health</t>
  </si>
  <si>
    <t>OakBend Medical Center</t>
  </si>
  <si>
    <t>University of Texas Health Science Center at Tyler</t>
  </si>
  <si>
    <t>Encompass Health Rehabilitation Hospital of Vision Park</t>
  </si>
  <si>
    <t>Encompass Health Rehabilitation Hospital of Wichita Falls</t>
  </si>
  <si>
    <t>University of Texas Southwestern Medical Center - Clements University Hospital</t>
  </si>
  <si>
    <t>Childress County Hospital District</t>
  </si>
  <si>
    <t>Ascension Seton Edgar B Davis</t>
  </si>
  <si>
    <t>Rio Grande Regional Hospital</t>
  </si>
  <si>
    <t>Woman's Hospital of Texas</t>
  </si>
  <si>
    <t>Coryell County Memorial Hospital Authority</t>
  </si>
  <si>
    <t>163219202</t>
  </si>
  <si>
    <t>Lubbock Heart Hospital LLC</t>
  </si>
  <si>
    <t>Ochiltree Hospital District</t>
  </si>
  <si>
    <t>Baylor County Hospital District - Seymour Hospital</t>
  </si>
  <si>
    <t>Austin State Hospital</t>
  </si>
  <si>
    <t>Haskell County Hospital District dba Haskell Memorial Hospital</t>
  </si>
  <si>
    <t>Big Springs State Hospital</t>
  </si>
  <si>
    <t>Rusk State Hospital</t>
  </si>
  <si>
    <t>Reeves County Hospital District</t>
  </si>
  <si>
    <t>Ballinger Memorial Hospital District</t>
  </si>
  <si>
    <t>McCamey Hospital</t>
  </si>
  <si>
    <t>Reagan Hospital District</t>
  </si>
  <si>
    <t>Medina County Hospital District</t>
  </si>
  <si>
    <t/>
  </si>
  <si>
    <t>138349908</t>
  </si>
  <si>
    <t>376537201</t>
  </si>
  <si>
    <t>1598138919</t>
  </si>
  <si>
    <t>El Paso Psychiatric Center</t>
  </si>
  <si>
    <t>135034006</t>
  </si>
  <si>
    <t>Terrell State Hospital</t>
  </si>
  <si>
    <t>San Antonio State Hospital</t>
  </si>
  <si>
    <t>391576105</t>
  </si>
  <si>
    <t>IP ACIA Payment</t>
  </si>
  <si>
    <t>OP ACIA Payment</t>
  </si>
  <si>
    <t>IP ACIA Rate</t>
  </si>
  <si>
    <t>OP ACIA Rate</t>
  </si>
  <si>
    <t>IP UHRIP Rate</t>
  </si>
  <si>
    <t>OP UHRIP Rate</t>
  </si>
  <si>
    <t>Total ACIA Payment</t>
  </si>
  <si>
    <t>State Share</t>
  </si>
  <si>
    <t>% of ACR before Cutback</t>
  </si>
  <si>
    <t>Hospitals Receive</t>
  </si>
  <si>
    <t>MCO Retains</t>
  </si>
  <si>
    <t>Suggested Total IGT for Declaration of Intent after 8% (12 months)</t>
  </si>
  <si>
    <t>Suggested IGT for 1st 6 months</t>
  </si>
  <si>
    <t>Suggested IGT for 2nd 6 months</t>
  </si>
  <si>
    <t>Class and SDA</t>
  </si>
  <si>
    <t>San Antonio Behavioral Healthcare Hospital</t>
  </si>
  <si>
    <t>Crockett Medical Center</t>
  </si>
  <si>
    <t>Mesa Springs</t>
  </si>
  <si>
    <t>Woodland Springs</t>
  </si>
  <si>
    <t>Georgetown Behavioral Health Institute, LLC</t>
  </si>
  <si>
    <t>MID COAST MEDICAL CENTER - CENTRAL</t>
  </si>
  <si>
    <t>Does the Hospital Have Positive IP ACR Room?</t>
  </si>
  <si>
    <t>Does the Hospital Have Positive OP ACR Room?</t>
  </si>
  <si>
    <t>1942795133</t>
  </si>
  <si>
    <t>Inpatient CHIRP Rate</t>
  </si>
  <si>
    <t>Outpatient CHIRP Rate</t>
  </si>
  <si>
    <t>Inpatient SDPs: Estimated UHRIP Payments</t>
  </si>
  <si>
    <t>IP ACIA payment is &gt; $0</t>
  </si>
  <si>
    <t>IGT Recommendations by SDA</t>
  </si>
  <si>
    <t>OP ACIA payment is &gt; $0</t>
  </si>
  <si>
    <t>Total ACIA payment is &gt; $0</t>
  </si>
  <si>
    <t>Inpatient Average Commercial Reimbursement UPL</t>
  </si>
  <si>
    <t>Outpatient Average Commercial Reimbursement UPL</t>
  </si>
  <si>
    <t>Hospital Receives</t>
  </si>
  <si>
    <t>STAR IP Total</t>
  </si>
  <si>
    <t>STAR OP Total</t>
  </si>
  <si>
    <t>Capitation Factors</t>
  </si>
  <si>
    <t>Risk Margin - STAR</t>
  </si>
  <si>
    <t>Risk Margin - STAR+PLUS</t>
  </si>
  <si>
    <t>Admin</t>
  </si>
  <si>
    <t>Premium Tax</t>
  </si>
  <si>
    <t>ACA Fee</t>
  </si>
  <si>
    <t>MCO Fees</t>
  </si>
  <si>
    <t>Total Hospital Receives Plus MCO Fees</t>
  </si>
  <si>
    <t>Baylor Scott &amp; White Emergency Hospital Burleson</t>
  </si>
  <si>
    <t>Hospitals of Providence</t>
  </si>
  <si>
    <t>Cutback</t>
  </si>
  <si>
    <t>Outpatient SDPs: Estimated UHRIP Payments</t>
  </si>
  <si>
    <t>Placeholder for IGT Received in June</t>
  </si>
  <si>
    <t>Requested to participate in ACIA Component?</t>
  </si>
  <si>
    <t>Yes</t>
  </si>
  <si>
    <t>No</t>
  </si>
  <si>
    <t>Inpatient ACR Payment Level</t>
  </si>
  <si>
    <t>Outpatient ACR Payment Level</t>
  </si>
  <si>
    <t>Allowable % of IP ACIA</t>
  </si>
  <si>
    <t>Reduction</t>
  </si>
  <si>
    <t>Allowable IP ACIA Payment to Stay at 90% of ACR.</t>
  </si>
  <si>
    <t>Allowable OP ACIA Payment to Stay at 90% of ACR.</t>
  </si>
  <si>
    <t>Allowable % of OP ACIA</t>
  </si>
  <si>
    <t>Revised IP ACIA Rate</t>
  </si>
  <si>
    <t>Revised OP ACIA Rate</t>
  </si>
  <si>
    <t>Revised IP ACIA Payment to stay at 90% of ACR</t>
  </si>
  <si>
    <t>Revised OP ACIA Payment to stay at 90% of ACR</t>
  </si>
  <si>
    <t>Inpatient SDPs: Estimated Inpatient ACIA Payments before reduction</t>
  </si>
  <si>
    <t>Outpatient SDPs: Estimated Outpatient ACIA Payments before reduction</t>
  </si>
  <si>
    <t>ACIA Reduction Calculation to Stay at 90% of ACR</t>
  </si>
  <si>
    <t>IP ACIA Payment before reduction to stay at 90% of ACR</t>
  </si>
  <si>
    <t>OP ACIA Payment (before reduction to stay at 90% of ACR)</t>
  </si>
  <si>
    <t>Master TPI list</t>
  </si>
  <si>
    <t>Enrollment</t>
  </si>
  <si>
    <t>Standard Dollar Amount File</t>
  </si>
  <si>
    <t>Actuarial Analysis</t>
  </si>
  <si>
    <t>IP Medicare UPL Test and IMD Medicare UPL Test</t>
  </si>
  <si>
    <t>OP Medicare UPL Test, or 0 for IMDs</t>
  </si>
  <si>
    <t>420957903</t>
  </si>
  <si>
    <t>Calculated in the ACR model tab using enrollment and UPL info; for IMDs, need Medicaid charges as well.</t>
  </si>
  <si>
    <t>Calculated in the ACR model tab using enrollment and UPL info.</t>
  </si>
  <si>
    <t>Frio Hospital Association dba Frio Regional Hospital</t>
  </si>
  <si>
    <t>Wise Health System</t>
  </si>
  <si>
    <t xml:space="preserve">Austin Behavioral Health </t>
  </si>
  <si>
    <t>Scurry County Hospital District DBA Cogdell Memorial Hospital</t>
  </si>
  <si>
    <t>NHCI of Hillsboro, Inc.  DBA Hill Regional Hospital</t>
  </si>
  <si>
    <t>Stephens Memorial Hospital</t>
  </si>
  <si>
    <t>South Limestone Hospital District DBA Limestone Medical Center</t>
  </si>
  <si>
    <t>UNIVERSITY OF TEXAS MEDICAL BRANCH (UNIVERSITY OF TEXAS MEDICAL BRANCH AT GALVESTON)</t>
  </si>
  <si>
    <t>Sherman/Grayson Hospital, LC
dba Wilson N Jones Regional Medical Center
500 N Highland Street
Sherman, TX 75092</t>
  </si>
  <si>
    <t>Rock Springs, LLC</t>
  </si>
  <si>
    <t>Sid Peterson Memorial Hospital</t>
  </si>
  <si>
    <t>COUNTY OF YOAKUM, d/b/a, YOAKUM COUNTY HOSPITAL</t>
  </si>
  <si>
    <t>Baptist Neighborhood Hospital</t>
  </si>
  <si>
    <t>Liberty County Hospital District No 1, d/b/a/ Liberty Dayton Regional Medical Center</t>
  </si>
  <si>
    <t>Lamb Healthcare Center</t>
  </si>
  <si>
    <t>Memorial Hermann - MHHS</t>
  </si>
  <si>
    <t>Memorial Hermann - Memorial City</t>
  </si>
  <si>
    <t>Memorial Hermann - Sugar Land</t>
  </si>
  <si>
    <t>Memorial Hermann - Katy</t>
  </si>
  <si>
    <t>Memorial Hermann - Northeast</t>
  </si>
  <si>
    <t>Memorial Hermann - TIRR</t>
  </si>
  <si>
    <t>Memorial Hermann - Katy Rehabilitation</t>
  </si>
  <si>
    <t>Graham Regional Medical Center</t>
  </si>
  <si>
    <t>Dallam Hartley Counties Hospital District dba Coon Memorial Hospital</t>
  </si>
  <si>
    <t xml:space="preserve">Children's Health Dallas </t>
  </si>
  <si>
    <t>Heart of Texas Memorial Hospital</t>
  </si>
  <si>
    <t>Methodist Children's Hospital
dba Covenant Children's Hospital</t>
  </si>
  <si>
    <t>Methodist Hospital Levelland
dba Covenant Hospital Levelland</t>
  </si>
  <si>
    <t>Methodist Hospital Plainview
dba Covenant Hospital Plainview</t>
  </si>
  <si>
    <t xml:space="preserve">Bexar County Hospital District d/b/a University Health </t>
  </si>
  <si>
    <t>Oceans Behavioral Hospital of Abilene, LLC</t>
  </si>
  <si>
    <t>Oceans Behavioral Hospital of the Permian Basin</t>
  </si>
  <si>
    <t xml:space="preserve">El Paso Children's Hospital Corporation d/b/a El Paso Children's Hospital </t>
  </si>
  <si>
    <t>Harlingen Medical Center</t>
  </si>
  <si>
    <t>Terry County Memorial Hospital District, dba, Brownfield Regional Medical Center</t>
  </si>
  <si>
    <t>Pampa Regional Medical Center</t>
  </si>
  <si>
    <t>Tarrant County Hospital District d/b/a JPS Health Network</t>
  </si>
  <si>
    <t>Fairfield Hospital District dba Freestone Medical Center</t>
  </si>
  <si>
    <t>Methodist Health Centers d/b/a Houston Methodist Sugar Land Hospital</t>
  </si>
  <si>
    <t>Methodist Health Centers d/b/a Houston Methodist Willowbrook Hospital</t>
  </si>
  <si>
    <t>Methodist Health Centers d/b/a Houston Methodist West Hospital</t>
  </si>
  <si>
    <t>San Jacinto Methodist Hospital d/b/a Houston Methodist Baytown Hospital</t>
  </si>
  <si>
    <t>The Methodist Hospital d/b/a Houston Methodist Hospital</t>
  </si>
  <si>
    <t>Houston Methodist St John Hospital d/b/a Houston Methodist Clear Lake Hospital</t>
  </si>
  <si>
    <t>Methodist Health Centers d/b/a Houston Methodist The Woodlands Hospital</t>
  </si>
  <si>
    <t>Guadalupe County Hospital Board DBA Guadalupe Regional Medical Center</t>
  </si>
  <si>
    <t>Glen Oaks Hospital</t>
  </si>
  <si>
    <t>River Crest Hospital</t>
  </si>
  <si>
    <t>Cypress Creek Hospital Inc</t>
  </si>
  <si>
    <t>SHC KPH LP</t>
  </si>
  <si>
    <t>Laurel Ridge Treatment Center</t>
  </si>
  <si>
    <t>Millwood Hospital</t>
  </si>
  <si>
    <t>Austin Oaks Hospital</t>
  </si>
  <si>
    <t>Behavioral Health Bellaire</t>
  </si>
  <si>
    <t>Mayhill Hospital</t>
  </si>
  <si>
    <t>University Behavioral Health of Denton</t>
  </si>
  <si>
    <t>University BH of El Paso</t>
  </si>
  <si>
    <t>West Oak Hospital Inc.</t>
  </si>
  <si>
    <t>Matagorda County Hospital District</t>
  </si>
  <si>
    <t xml:space="preserve"> CHI St. Luke's Health Baylor College of Medicine Medical Center  
</t>
  </si>
  <si>
    <t>St. Luke's Sugar Land  Hospital</t>
  </si>
  <si>
    <t xml:space="preserve"> Memorial Hospital of Polk County 
</t>
  </si>
  <si>
    <t xml:space="preserve">CHI St. Joseph Health - Madison 
</t>
  </si>
  <si>
    <t xml:space="preserve">Baylor Heart &amp; Vascular Center LLP 
</t>
  </si>
  <si>
    <t>Titus County Hospital District d/b/a Titus Regional Medical Center</t>
  </si>
  <si>
    <t>CASTRO COUNTY HOSPITAL DISTRICT DBA PLAINS MEMORIAL HOSPITAL</t>
  </si>
  <si>
    <t xml:space="preserve">Baylor Medical Center at Irving
</t>
  </si>
  <si>
    <t xml:space="preserve">Baylor Medical Centers at Garland and McKinney
</t>
  </si>
  <si>
    <t xml:space="preserve">Baylor Regional Medical Center at Plano
</t>
  </si>
  <si>
    <t xml:space="preserve">Baylor Scott &amp; White Medical Center - Centennial
</t>
  </si>
  <si>
    <t xml:space="preserve">Scott &amp; White Hospital - College Station
</t>
  </si>
  <si>
    <t xml:space="preserve">Hillcrest Baptist Medical Center
</t>
  </si>
  <si>
    <t>Scott &amp; White Hospital -Marble Falls</t>
  </si>
  <si>
    <t>Baylor Scott &amp; White Medical Centers - Capitol Area</t>
  </si>
  <si>
    <t xml:space="preserve">Scott &amp; White Hospital - Round Rock
</t>
  </si>
  <si>
    <t xml:space="preserve">Scott and White Memorial Hospital
</t>
  </si>
  <si>
    <t xml:space="preserve">THHBP Management Company LLC </t>
  </si>
  <si>
    <t xml:space="preserve">Texas Heart Hospital of the Southwest LLP
</t>
  </si>
  <si>
    <t>HCA Houston Pearland</t>
  </si>
  <si>
    <t>Methodist Charlton Medical Center</t>
  </si>
  <si>
    <t>Methodist Dallas Medical Center</t>
  </si>
  <si>
    <t>Methodist Mansfield Medical Center</t>
  </si>
  <si>
    <t>Methodist Richardson Medical Center</t>
  </si>
  <si>
    <t>North Runnels County Hospital</t>
  </si>
  <si>
    <t>CAHRMC LLC dba Rice Medical Center</t>
  </si>
  <si>
    <t>St. Davids South Austin</t>
  </si>
  <si>
    <t>Las Palmas Del Sol</t>
  </si>
  <si>
    <t>Rolling Plains Memorial Hospital</t>
  </si>
  <si>
    <t>Encompass Health Rehabilitation Hospital of Katy</t>
  </si>
  <si>
    <t>Seminole Hospital District of Gaines County TX</t>
  </si>
  <si>
    <t>Haven Behavioral Hospital of Frisco</t>
  </si>
  <si>
    <t>Anson General Hospital</t>
  </si>
  <si>
    <t>Shannon Rehabilitation Hospital, an affiliate of Encompass Health</t>
  </si>
  <si>
    <t>Deaf Smith County Hospital District</t>
  </si>
  <si>
    <t>Encompass Health Rehabilitation Hospital of Waco</t>
  </si>
  <si>
    <t>Throckmorton County Memorial Hospital</t>
  </si>
  <si>
    <t>Temple Behavioral Healthcare Hospital Inc
dba Canyon Creek Behavioral Health</t>
  </si>
  <si>
    <t>SUN Houston LLC</t>
  </si>
  <si>
    <t>Kerrville State Hospital</t>
  </si>
  <si>
    <t>North Texas State Hospital/Wichita</t>
  </si>
  <si>
    <t>North Texas State Hospital/Vernon</t>
  </si>
  <si>
    <t>Rio Grande State School</t>
  </si>
  <si>
    <t>Texas Center for Infectious Diseases</t>
  </si>
  <si>
    <t>Waco Center for Youth</t>
  </si>
  <si>
    <t xml:space="preserve">Sunrise Canyon Hospital </t>
  </si>
  <si>
    <t>Paris Regional Medical Center</t>
  </si>
  <si>
    <t>Cuero Community Hospital</t>
  </si>
  <si>
    <t>Wilbarger County Hospital District</t>
  </si>
  <si>
    <t>GPCH, LLC dba Golden Plains Community Hospital</t>
  </si>
  <si>
    <t>Scenic Mountain Medical Center</t>
  </si>
  <si>
    <t>Odessa Regional Medical Center</t>
  </si>
  <si>
    <t>The Medical Center Of Southeast Texas</t>
  </si>
  <si>
    <t>Wadley Regional Medical Center</t>
  </si>
  <si>
    <t>Andrews County Hospital District</t>
  </si>
  <si>
    <t>Intracare Hospital North
Intracare North Hospital DBA</t>
  </si>
  <si>
    <t xml:space="preserve">Starr County Memorial Hospital
</t>
  </si>
  <si>
    <t>Westpark Springs LLC</t>
  </si>
  <si>
    <t>Ward Memorial Hospital</t>
  </si>
  <si>
    <t>Karnes County Hospital District</t>
  </si>
  <si>
    <t>Prime Healthcare Service - Mesquite, LLC (DBA Dallas Regional Medical Center)</t>
  </si>
  <si>
    <t>Pipeline East Dallas LLC dba White Rock Medical Center</t>
  </si>
  <si>
    <t>Sweeny Community Hospital</t>
  </si>
  <si>
    <t xml:space="preserve">CHRISTUS SPOHN HEALTH SYSTEM CORPORATION-CHRISTUS SPOHN HOSPITAL ALICE      
</t>
  </si>
  <si>
    <t xml:space="preserve">CHRISTUS SPOHN HEALTH SYSTEM CORPORATION-CHRISTUS SPOHN HOSPITAL KLEBERG                   
</t>
  </si>
  <si>
    <t xml:space="preserve">CHRISTUS SPOHN HEALTH SYSTEM CORPORATION-CHRISTUS SPOHN HOSPITAL CORPUS CHRISTI            
</t>
  </si>
  <si>
    <t xml:space="preserve">CHRISTUS SANTA ROSA HEALTH CARE CORPORATION-CHRISTUS SANTA ROSA HOSPITAL                      
</t>
  </si>
  <si>
    <t xml:space="preserve">CHRISTUS SANTA ROSA HEALTH CARE CORPORATION-CHRISTUS SANTA ROSA CHILDRENS                     
</t>
  </si>
  <si>
    <t xml:space="preserve">CHRISTUS HOPKINS HEALTH ALLIANCE-CHRISTUS MOTHER FRANCES HOSPITAL - SULPHUR SPRINGS
</t>
  </si>
  <si>
    <t xml:space="preserve">MOTHER FRANCES HOSPITAL JACKSONVILLE              
</t>
  </si>
  <si>
    <t xml:space="preserve">MOTHER FRANCES HOSPITAL WINNSBORO                 
</t>
  </si>
  <si>
    <t xml:space="preserve">MOTHER FRANCES HOSPITAL REGIONAL HEALTHCARE CENTER-MOTHER FRANCES HOSPITAL                           
</t>
  </si>
  <si>
    <t xml:space="preserve">CHRISTUS HEALTH ARK LATEX-CHRISTUS ST MICHAEL        
</t>
  </si>
  <si>
    <t xml:space="preserve">CHRISTUS HEALTH ARK LATEX-CHRISTUS ST MICHAEL REHABILITATION HOSPITAL       
</t>
  </si>
  <si>
    <t xml:space="preserve">CHRISTUS GOOD SHEPHERD MEDICAL CENTER-CHRISTUS GOOD SHEPHERD MEDICAL CENTER MARSHALL    
</t>
  </si>
  <si>
    <t xml:space="preserve">CHRISTUS JASPER MEMORIAL HOSPITAL-                                                  
</t>
  </si>
  <si>
    <t xml:space="preserve">CHRISTUS HEALTH SOUTHEAST TEXAS-CHRISTUS HOSPITAL                                 
</t>
  </si>
  <si>
    <t>Texas Vista Medical Center</t>
  </si>
  <si>
    <t xml:space="preserve">CHRISTUS Santa Rosa Hospital-San Marcos                                      
</t>
  </si>
  <si>
    <t>Houston Behavioral Healthcare Hospital</t>
  </si>
  <si>
    <t xml:space="preserve">Legal Name: Texas Scottish Rite Hospital for Crippled Children
DBA: Texas Scottish Rite Hospital for Children Scottish Rite for Children
</t>
  </si>
  <si>
    <t>Palo Pinto County Hospital District</t>
  </si>
  <si>
    <t>Lavaca Medical Center</t>
  </si>
  <si>
    <t xml:space="preserve">Hill Country Memorial Hospital
</t>
  </si>
  <si>
    <t>Lillian Hudspeth Memorial Hospital</t>
  </si>
  <si>
    <t>El Paso County Hospital District dba University Medical Center of El Paso</t>
  </si>
  <si>
    <t>Crane County Hospital District</t>
  </si>
  <si>
    <t>Val Verde Regional Medical Center</t>
  </si>
  <si>
    <t>Metroplex Adventist Hospital, Inc. dba AdventHealth Central Texas</t>
  </si>
  <si>
    <t>Metroplex Adventist Hospital, Inc. dba AdventHealth Rollins Brook</t>
  </si>
  <si>
    <t>Stonewall Memorial Hospital District</t>
  </si>
  <si>
    <t xml:space="preserve">Texas Health Frisco
</t>
  </si>
  <si>
    <t>PRHC Ennis LP</t>
  </si>
  <si>
    <t>MIDLAND COUNTY HOSPITAL DISTRCT - MIDLAND MEMORIAL HOSPITAL</t>
  </si>
  <si>
    <t>Methodist Southlake Medical Center</t>
  </si>
  <si>
    <t>Athens Hospital LLC - UT HEALTH EAST TEXAS ATHENS HOSPITAL</t>
  </si>
  <si>
    <t>Carthage Hospital LLC - UT HEALTH EAST TEXAS CARTHAGE HOSPITAL</t>
  </si>
  <si>
    <t>Henderson Hospital LLC - UT HEALTH EAST TEXAS HENDERSON HOSPITAL</t>
  </si>
  <si>
    <t>Jacksonville Hospital LLC - UT HEALTH EAST TEXAS JACKSONVILLE HOSPITAL</t>
  </si>
  <si>
    <t>Pittsburg Hospital LLC - UT HEALTH EAST TEXAS PITTSBURG HOSPITAL</t>
  </si>
  <si>
    <t>Quitman Hospital LLC - UT HEALTH EAST TEXAS QUITMAN HOSPITAL</t>
  </si>
  <si>
    <t>Rehabilitation Hospital LLC - UT HEALTH EAST TEXAS REHABILITATION HOSPITAL</t>
  </si>
  <si>
    <t>Tyler Regional Hospital LLC - UT HEALTH EAST TEXAS TYLER REGIONAL HOSPITAL</t>
  </si>
  <si>
    <t>BSA Hospital LLC - Baptist St Anthonys Hospital</t>
  </si>
  <si>
    <t>PHYSICIANS SURGICAL HOSPITAL LLC - Quail Creek Surgical Hospital</t>
  </si>
  <si>
    <t>Chambers County Public Hospital District No1 DBA Omni Point Health Hospital</t>
  </si>
  <si>
    <t>Huntsville Community Hospital, Inc., d/b/a Huntsville Memorial Hospital</t>
  </si>
  <si>
    <t>HAMILTON COUNTY HOSPITAL DISTRICT
DBA:  HAMILTON HEALTHCARE SYSTEM
DBA:  HAMILTON GENERAL HOSPITAL</t>
  </si>
  <si>
    <t>Nacogdoches County Hospital District</t>
  </si>
  <si>
    <t>GENERAL HOSPITAL</t>
  </si>
  <si>
    <t>Hendrick Medical Center Brownwood</t>
  </si>
  <si>
    <t>State-owned non-IMD</t>
  </si>
  <si>
    <t>State-owned IMD</t>
  </si>
  <si>
    <t>1881252203</t>
  </si>
  <si>
    <t>1306448899</t>
  </si>
  <si>
    <t>1205420916</t>
  </si>
  <si>
    <t>1427671064</t>
  </si>
  <si>
    <t>1568818417</t>
  </si>
  <si>
    <t>427092801</t>
  </si>
  <si>
    <t>431237301</t>
  </si>
  <si>
    <t>432310701</t>
  </si>
  <si>
    <t>421199701</t>
  </si>
  <si>
    <t>425740401</t>
  </si>
  <si>
    <t>2022 IP UPL Gap</t>
  </si>
  <si>
    <t>2022 OP UPL Gap</t>
  </si>
  <si>
    <t>CHIRP SFY2023 Payment Calculation Model</t>
  </si>
  <si>
    <t>Hospital Location</t>
  </si>
  <si>
    <t>All</t>
  </si>
  <si>
    <t>SFY23 Estimated Payments*</t>
  </si>
  <si>
    <t>12 Month CHIRP Increase</t>
  </si>
  <si>
    <t xml:space="preserve">CHRISTUS SANTA ROSA HEALTH CARE CORPORATION-CHRISTUS SANTA ROSA CHILDRENS 
</t>
  </si>
  <si>
    <t xml:space="preserve">  Total - STAR</t>
  </si>
  <si>
    <t xml:space="preserve">  Total - STAR+PLUS</t>
  </si>
  <si>
    <t>* 3/19-2/20 data trended to SFY23 with preliminary factors</t>
  </si>
  <si>
    <t xml:space="preserve">CHRISTUS SANTA ROSA HEALTH CARE CORPORATION-CHRISTUS SANTA ROSA HOSPITAL 
</t>
  </si>
  <si>
    <t>OP identified by Bill Codes starting with '13'</t>
  </si>
  <si>
    <t>Children's Health Dallas</t>
  </si>
  <si>
    <t>El Paso Children's Hospital Corporation d/b/a El Paso Children's Hospital</t>
  </si>
  <si>
    <t xml:space="preserve">CHI St. Luke's Health Baylor College of Medicine Medical Center 
</t>
  </si>
  <si>
    <t xml:space="preserve">St. Luke's Lakeside Hospital 
</t>
  </si>
  <si>
    <t xml:space="preserve">St. Luke's Patients Medical Center 
</t>
  </si>
  <si>
    <t>St. Luke's Sugar Land Hospital</t>
  </si>
  <si>
    <t xml:space="preserve">St. Luke's Hospital at The Vintage 
</t>
  </si>
  <si>
    <t xml:space="preserve">St. Luke's Community Health Services - The Woodlands 
</t>
  </si>
  <si>
    <t xml:space="preserve">The Community Hospital of Brazosport 
</t>
  </si>
  <si>
    <t xml:space="preserve">CHRISTUS JASPER MEMORIAL HOSPITAL- 
</t>
  </si>
  <si>
    <t xml:space="preserve">Memorial Hospital of Polk County 
</t>
  </si>
  <si>
    <t xml:space="preserve">CHRISTUS HEALTH SOUTHEAST TEXAS-CHRISTUS HOSPITAL 
</t>
  </si>
  <si>
    <t>Sunrise Canyon Hospital</t>
  </si>
  <si>
    <t xml:space="preserve">CHI St. Joseph Health - Grimes 
</t>
  </si>
  <si>
    <t>HAMILTON COUNTY HOSPITAL DISTRICT
DBA: HAMILTON HEALTHCARE SYSTEM
DBA: HAMILTON GENERAL HOSPITAL</t>
  </si>
  <si>
    <t xml:space="preserve">CHI St. Joseph Health - Burleson 
</t>
  </si>
  <si>
    <t>NHCI of Hillsboro, Inc. DBA Hill Regional Hospital</t>
  </si>
  <si>
    <t xml:space="preserve">CHI St. Joseph Regional Health Center 
</t>
  </si>
  <si>
    <t xml:space="preserve">Memorial Medical Center of East Texas 
</t>
  </si>
  <si>
    <t xml:space="preserve">Memorial Hospital - San Augustine 
</t>
  </si>
  <si>
    <t xml:space="preserve">MOTHER FRANCES HOSPITAL WINNSBORO 
</t>
  </si>
  <si>
    <t xml:space="preserve">MOTHER FRANCES HOSPITAL JACKSONVILLE 
</t>
  </si>
  <si>
    <t>GAINESVILLE COMMUNITY HOSPITAL, INC DBA NORTH TEXAS MEDICAL CENTER</t>
  </si>
  <si>
    <t xml:space="preserve">CHRISTUS GOOD SHEPHERD MEDICAL CENTER-CHRISTUS GOOD SHEPHERD MEDICAL CENTER MARSHALL 
</t>
  </si>
  <si>
    <t xml:space="preserve">CHRISTUS HEALTH ARK LATEX-CHRISTUS ST MICHAEL 
</t>
  </si>
  <si>
    <t xml:space="preserve">CHRISTUS HEALTH ARK LATEX-CHRISTUS ST MICHAEL REHABILITATION HOSPITAL 
</t>
  </si>
  <si>
    <t xml:space="preserve">MOTHER FRANCES HOSPITAL REGIONAL HEALTHCARE CENTER-MOTHER FRANCES HOSPITAL 
</t>
  </si>
  <si>
    <t xml:space="preserve">CHRISTUS SPOHN HEALTH SYSTEM CORPORATION-CHRISTUS SPOHN HOSPITAL ALICE 
</t>
  </si>
  <si>
    <t xml:space="preserve">CHRISTUS SPOHN HEALTH SYSTEM CORPORATION-CHRISTUS SPOHN HOSPITAL KLEBERG 
</t>
  </si>
  <si>
    <t xml:space="preserve">CHRISTUS SPOHN HEALTH SYSTEM CORPORATION-CHRISTUS SPOHN HOSPITAL CORPUS CHRISTI 
</t>
  </si>
  <si>
    <t>Austin Behavioral Health</t>
  </si>
  <si>
    <t xml:space="preserve">CHRISTUS Santa Rosa Hospital-San Marcos 
</t>
  </si>
  <si>
    <t>CHIRP OP Increase</t>
  </si>
  <si>
    <t>CHIRP IP Increase</t>
  </si>
  <si>
    <t>STAR+PLUS OP Total</t>
  </si>
  <si>
    <t>STAR+PLUS IP Total</t>
  </si>
  <si>
    <t>PGY 6 IP Encounters</t>
  </si>
  <si>
    <t>PGY 6 OP Encounters</t>
  </si>
  <si>
    <t>PGY 6 Encounters</t>
  </si>
  <si>
    <t>Comprehensive Hospital Increase Reimbursement Program for FY 2023 Preliminary Modeling</t>
  </si>
  <si>
    <t>SFY23 IP Encounters STAR and STAR Plus</t>
  </si>
  <si>
    <t>SFY23 AA OP Encounters STAR and STAR Plus</t>
  </si>
  <si>
    <t>Total SFY23 AA Encounters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</si>
</sst>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</numFmts>
  <fonts count="29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ArialMT"/>
      <family val="2"/>
    </font>
    <font>
      <sz val="10"/>
      <name val="Arial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sz val="9"/>
      <color rgb="FF333333"/>
      <name val="Verdana"/>
      <family val="2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333333"/>
      <name val="Verdana"/>
      <family val="2"/>
    </font>
    <font>
      <b/>
      <u/>
      <sz val="14"/>
      <color theme="1"/>
      <name val="Verdana"/>
      <family val="2"/>
    </font>
    <font>
      <sz val="8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rgb="FF43D6D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26B8FA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8">
    <xf numFmtId="0" fontId="0" fillId="0" borderId="0"/>
    <xf numFmtId="0" fontId="2" fillId="0" borderId="0"/>
    <xf numFmtId="0" fontId="3" fillId="0" borderId="0"/>
    <xf numFmtId="44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3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0" borderId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9" fillId="0" borderId="0"/>
    <xf numFmtId="0" fontId="9" fillId="7" borderId="12" applyNumberFormat="0" applyFont="0" applyAlignment="0" applyProtection="0"/>
    <xf numFmtId="44" fontId="9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44" fontId="6" fillId="0" borderId="0" applyFont="0" applyFill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1" fillId="11" borderId="0" applyNumberFormat="0" applyBorder="0" applyAlignment="0" applyProtection="0"/>
    <xf numFmtId="44" fontId="5" fillId="0" borderId="0" applyFont="0" applyFill="0" applyBorder="0" applyAlignment="0" applyProtection="0"/>
    <xf numFmtId="0" fontId="11" fillId="0" borderId="0"/>
    <xf numFmtId="0" fontId="5" fillId="7" borderId="12" applyNumberFormat="0" applyFont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</cellStyleXfs>
  <cellXfs count="153">
    <xf numFmtId="0" fontId="0" fillId="0" borderId="0" xfId="0"/>
    <xf numFmtId="0" fontId="10" fillId="0" borderId="0" xfId="0" applyFont="1"/>
    <xf numFmtId="37" fontId="0" fillId="0" borderId="0" xfId="0" applyNumberFormat="1"/>
    <xf numFmtId="37" fontId="0" fillId="0" borderId="0" xfId="48" applyNumberFormat="1" applyFont="1"/>
    <xf numFmtId="49" fontId="0" fillId="0" borderId="0" xfId="0" applyNumberFormat="1"/>
    <xf numFmtId="49" fontId="10" fillId="0" borderId="0" xfId="0" applyNumberFormat="1" applyFont="1"/>
    <xf numFmtId="43" fontId="0" fillId="0" borderId="0" xfId="48" applyFont="1"/>
    <xf numFmtId="0" fontId="0" fillId="0" borderId="0" xfId="0" applyAlignment="1">
      <alignment wrapText="1"/>
    </xf>
    <xf numFmtId="166" fontId="0" fillId="0" borderId="0" xfId="48" applyNumberFormat="1" applyFont="1"/>
    <xf numFmtId="0" fontId="0" fillId="0" borderId="0" xfId="0"/>
    <xf numFmtId="9" fontId="0" fillId="0" borderId="0" xfId="45" applyFont="1"/>
    <xf numFmtId="0" fontId="0" fillId="0" borderId="0" xfId="0" applyFill="1"/>
    <xf numFmtId="0" fontId="10" fillId="0" borderId="0" xfId="0" applyNumberFormat="1" applyFont="1"/>
    <xf numFmtId="0" fontId="10" fillId="0" borderId="0" xfId="0" applyFont="1" applyFill="1" applyAlignment="1">
      <alignment horizontal="center"/>
    </xf>
    <xf numFmtId="0" fontId="0" fillId="0" borderId="0" xfId="0" applyNumberFormat="1"/>
    <xf numFmtId="0" fontId="0" fillId="5" borderId="0" xfId="0" applyFill="1"/>
    <xf numFmtId="0" fontId="10" fillId="5" borderId="0" xfId="0" applyFont="1" applyFill="1" applyAlignment="1">
      <alignment wrapText="1"/>
    </xf>
    <xf numFmtId="0" fontId="10" fillId="5" borderId="0" xfId="0" applyFont="1" applyFill="1" applyAlignment="1">
      <alignment horizontal="center" wrapText="1"/>
    </xf>
    <xf numFmtId="0" fontId="16" fillId="0" borderId="0" xfId="87"/>
    <xf numFmtId="166" fontId="16" fillId="0" borderId="0" xfId="48" applyNumberFormat="1" applyFont="1"/>
    <xf numFmtId="0" fontId="16" fillId="0" borderId="0" xfId="87" applyAlignment="1">
      <alignment wrapText="1"/>
    </xf>
    <xf numFmtId="9" fontId="0" fillId="0" borderId="0" xfId="45" applyFont="1" applyBorder="1"/>
    <xf numFmtId="9" fontId="0" fillId="0" borderId="13" xfId="45" applyFont="1" applyBorder="1"/>
    <xf numFmtId="166" fontId="0" fillId="0" borderId="6" xfId="48" applyNumberFormat="1" applyFont="1" applyBorder="1"/>
    <xf numFmtId="0" fontId="0" fillId="0" borderId="5" xfId="0" applyBorder="1"/>
    <xf numFmtId="0" fontId="0" fillId="0" borderId="7" xfId="0" applyBorder="1"/>
    <xf numFmtId="166" fontId="0" fillId="0" borderId="1" xfId="48" applyNumberFormat="1" applyFont="1" applyBorder="1"/>
    <xf numFmtId="0" fontId="10" fillId="0" borderId="19" xfId="0" applyFont="1" applyBorder="1"/>
    <xf numFmtId="166" fontId="10" fillId="0" borderId="14" xfId="48" applyNumberFormat="1" applyFont="1" applyBorder="1"/>
    <xf numFmtId="0" fontId="17" fillId="0" borderId="0" xfId="0" applyFont="1"/>
    <xf numFmtId="0" fontId="17" fillId="0" borderId="0" xfId="0" applyFont="1" applyFill="1" applyBorder="1"/>
    <xf numFmtId="2" fontId="20" fillId="0" borderId="6" xfId="1" applyNumberFormat="1" applyFont="1" applyBorder="1" applyAlignment="1">
      <alignment horizontal="left"/>
    </xf>
    <xf numFmtId="0" fontId="21" fillId="0" borderId="19" xfId="1" applyFont="1" applyFill="1" applyBorder="1" applyAlignment="1">
      <alignment wrapText="1"/>
    </xf>
    <xf numFmtId="0" fontId="21" fillId="0" borderId="14" xfId="1" applyFont="1" applyFill="1" applyBorder="1" applyAlignment="1">
      <alignment wrapText="1"/>
    </xf>
    <xf numFmtId="49" fontId="10" fillId="6" borderId="3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wrapText="1"/>
    </xf>
    <xf numFmtId="0" fontId="1" fillId="0" borderId="0" xfId="0" applyFont="1" applyFill="1" applyBorder="1"/>
    <xf numFmtId="0" fontId="18" fillId="0" borderId="0" xfId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9" fontId="1" fillId="0" borderId="0" xfId="45" applyFont="1" applyFill="1" applyBorder="1" applyAlignment="1">
      <alignment horizontal="right"/>
    </xf>
    <xf numFmtId="44" fontId="1" fillId="0" borderId="0" xfId="59" applyFont="1" applyFill="1" applyBorder="1" applyAlignment="1">
      <alignment horizontal="right"/>
    </xf>
    <xf numFmtId="0" fontId="10" fillId="0" borderId="0" xfId="0" applyFont="1" applyFill="1" applyBorder="1"/>
    <xf numFmtId="0" fontId="20" fillId="0" borderId="6" xfId="1" applyNumberFormat="1" applyFont="1" applyBorder="1" applyAlignment="1">
      <alignment horizontal="left" wrapText="1"/>
    </xf>
    <xf numFmtId="0" fontId="20" fillId="0" borderId="6" xfId="1" applyNumberFormat="1" applyFont="1" applyFill="1" applyBorder="1" applyAlignment="1">
      <alignment horizontal="left" wrapText="1"/>
    </xf>
    <xf numFmtId="165" fontId="20" fillId="0" borderId="6" xfId="1" applyNumberFormat="1" applyFont="1" applyBorder="1" applyAlignment="1">
      <alignment horizontal="right"/>
    </xf>
    <xf numFmtId="164" fontId="20" fillId="0" borderId="6" xfId="1" applyNumberFormat="1" applyFont="1" applyBorder="1" applyAlignment="1">
      <alignment horizontal="right"/>
    </xf>
    <xf numFmtId="9" fontId="20" fillId="0" borderId="6" xfId="45" applyFont="1" applyBorder="1" applyAlignment="1">
      <alignment horizontal="right"/>
    </xf>
    <xf numFmtId="49" fontId="20" fillId="0" borderId="6" xfId="1" applyNumberFormat="1" applyFont="1" applyFill="1" applyBorder="1" applyAlignment="1">
      <alignment horizontal="left" wrapText="1"/>
    </xf>
    <xf numFmtId="49" fontId="19" fillId="4" borderId="3" xfId="1" applyNumberFormat="1" applyFont="1" applyFill="1" applyBorder="1" applyAlignment="1">
      <alignment horizontal="center" vertical="center" wrapText="1"/>
    </xf>
    <xf numFmtId="49" fontId="19" fillId="4" borderId="4" xfId="1" applyNumberFormat="1" applyFont="1" applyFill="1" applyBorder="1" applyAlignment="1">
      <alignment horizontal="center" vertical="center" wrapText="1"/>
    </xf>
    <xf numFmtId="164" fontId="19" fillId="9" borderId="4" xfId="1" applyNumberFormat="1" applyFont="1" applyFill="1" applyBorder="1" applyAlignment="1">
      <alignment horizontal="center" vertical="center" wrapText="1"/>
    </xf>
    <xf numFmtId="164" fontId="19" fillId="8" borderId="4" xfId="1" applyNumberFormat="1" applyFont="1" applyFill="1" applyBorder="1" applyAlignment="1">
      <alignment horizontal="center" vertical="center" wrapText="1"/>
    </xf>
    <xf numFmtId="164" fontId="19" fillId="10" borderId="4" xfId="1" applyNumberFormat="1" applyFont="1" applyFill="1" applyBorder="1" applyAlignment="1">
      <alignment horizontal="center" vertical="center" wrapText="1"/>
    </xf>
    <xf numFmtId="0" fontId="10" fillId="0" borderId="14" xfId="0" applyFont="1" applyFill="1" applyBorder="1"/>
    <xf numFmtId="0" fontId="21" fillId="0" borderId="14" xfId="1" applyFont="1" applyFill="1" applyBorder="1"/>
    <xf numFmtId="165" fontId="23" fillId="0" borderId="14" xfId="1" applyNumberFormat="1" applyFont="1" applyBorder="1" applyAlignment="1">
      <alignment horizontal="right"/>
    </xf>
    <xf numFmtId="9" fontId="23" fillId="0" borderId="14" xfId="45" applyFont="1" applyBorder="1" applyAlignment="1">
      <alignment horizontal="right"/>
    </xf>
    <xf numFmtId="0" fontId="10" fillId="0" borderId="8" xfId="0" applyFont="1" applyBorder="1"/>
    <xf numFmtId="0" fontId="10" fillId="0" borderId="9" xfId="0" applyFont="1" applyBorder="1" applyAlignment="1">
      <alignment wrapText="1"/>
    </xf>
    <xf numFmtId="166" fontId="10" fillId="0" borderId="9" xfId="0" applyNumberFormat="1" applyFont="1" applyBorder="1"/>
    <xf numFmtId="49" fontId="10" fillId="6" borderId="5" xfId="1" applyNumberFormat="1" applyFont="1" applyFill="1" applyBorder="1" applyAlignment="1">
      <alignment horizontal="center" vertical="center" wrapText="1"/>
    </xf>
    <xf numFmtId="49" fontId="10" fillId="6" borderId="6" xfId="1" applyNumberFormat="1" applyFont="1" applyFill="1" applyBorder="1" applyAlignment="1">
      <alignment horizontal="center" vertical="center" wrapText="1"/>
    </xf>
    <xf numFmtId="49" fontId="10" fillId="6" borderId="17" xfId="1" applyNumberFormat="1" applyFont="1" applyFill="1" applyBorder="1" applyAlignment="1">
      <alignment horizontal="center" vertical="center" wrapText="1"/>
    </xf>
    <xf numFmtId="49" fontId="10" fillId="6" borderId="21" xfId="1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9" fontId="0" fillId="0" borderId="17" xfId="45" applyFont="1" applyBorder="1"/>
    <xf numFmtId="9" fontId="0" fillId="0" borderId="18" xfId="45" applyFont="1" applyBorder="1"/>
    <xf numFmtId="0" fontId="24" fillId="0" borderId="0" xfId="0" applyFont="1"/>
    <xf numFmtId="167" fontId="0" fillId="0" borderId="6" xfId="59" applyNumberFormat="1" applyFont="1" applyFill="1" applyBorder="1"/>
    <xf numFmtId="165" fontId="20" fillId="0" borderId="4" xfId="1" applyNumberFormat="1" applyFont="1" applyBorder="1" applyAlignment="1">
      <alignment horizontal="right"/>
    </xf>
    <xf numFmtId="0" fontId="0" fillId="0" borderId="22" xfId="0" applyBorder="1"/>
    <xf numFmtId="166" fontId="0" fillId="0" borderId="22" xfId="48" applyNumberFormat="1" applyFont="1" applyBorder="1"/>
    <xf numFmtId="9" fontId="0" fillId="0" borderId="22" xfId="45" applyFont="1" applyBorder="1"/>
    <xf numFmtId="166" fontId="0" fillId="0" borderId="22" xfId="0" applyNumberFormat="1" applyBorder="1"/>
    <xf numFmtId="166" fontId="10" fillId="0" borderId="20" xfId="48" applyNumberFormat="1" applyFont="1" applyBorder="1"/>
    <xf numFmtId="0" fontId="0" fillId="0" borderId="23" xfId="0" applyBorder="1"/>
    <xf numFmtId="166" fontId="0" fillId="0" borderId="7" xfId="48" applyNumberFormat="1" applyFont="1" applyBorder="1"/>
    <xf numFmtId="0" fontId="0" fillId="0" borderId="24" xfId="0" applyBorder="1"/>
    <xf numFmtId="49" fontId="10" fillId="12" borderId="3" xfId="1" applyNumberFormat="1" applyFont="1" applyFill="1" applyBorder="1" applyAlignment="1">
      <alignment horizontal="center" vertical="center" wrapText="1"/>
    </xf>
    <xf numFmtId="164" fontId="19" fillId="12" borderId="4" xfId="1" applyNumberFormat="1" applyFont="1" applyFill="1" applyBorder="1" applyAlignment="1">
      <alignment horizontal="center" vertical="center" wrapText="1"/>
    </xf>
    <xf numFmtId="167" fontId="20" fillId="0" borderId="6" xfId="59" applyNumberFormat="1" applyFont="1" applyBorder="1" applyAlignment="1">
      <alignment horizontal="right"/>
    </xf>
    <xf numFmtId="9" fontId="20" fillId="0" borderId="6" xfId="45" applyNumberFormat="1" applyFont="1" applyBorder="1" applyAlignment="1">
      <alignment horizontal="right"/>
    </xf>
    <xf numFmtId="166" fontId="20" fillId="0" borderId="6" xfId="48" applyNumberFormat="1" applyFont="1" applyBorder="1" applyAlignment="1">
      <alignment horizontal="right"/>
    </xf>
    <xf numFmtId="10" fontId="1" fillId="0" borderId="0" xfId="59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166" fontId="0" fillId="0" borderId="0" xfId="48" applyNumberFormat="1" applyFont="1" applyAlignment="1">
      <alignment wrapText="1"/>
    </xf>
    <xf numFmtId="0" fontId="0" fillId="0" borderId="11" xfId="0" applyBorder="1"/>
    <xf numFmtId="0" fontId="17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17" fillId="0" borderId="0" xfId="0" quotePrefix="1" applyFont="1"/>
    <xf numFmtId="166" fontId="26" fillId="0" borderId="0" xfId="0" applyNumberFormat="1" applyFont="1" applyAlignment="1">
      <alignment wrapText="1"/>
    </xf>
    <xf numFmtId="166" fontId="10" fillId="0" borderId="14" xfId="48" applyNumberFormat="1" applyFont="1" applyFill="1" applyBorder="1"/>
    <xf numFmtId="165" fontId="23" fillId="0" borderId="14" xfId="1" applyNumberFormat="1" applyFont="1" applyFill="1" applyBorder="1" applyAlignment="1">
      <alignment horizontal="right"/>
    </xf>
    <xf numFmtId="0" fontId="0" fillId="0" borderId="22" xfId="0" applyFill="1" applyBorder="1"/>
    <xf numFmtId="166" fontId="0" fillId="0" borderId="22" xfId="48" applyNumberFormat="1" applyFont="1" applyFill="1" applyBorder="1"/>
    <xf numFmtId="166" fontId="0" fillId="0" borderId="22" xfId="0" applyNumberFormat="1" applyFill="1" applyBorder="1"/>
    <xf numFmtId="0" fontId="0" fillId="0" borderId="23" xfId="0" applyFill="1" applyBorder="1"/>
    <xf numFmtId="9" fontId="0" fillId="0" borderId="7" xfId="45" applyFont="1" applyBorder="1"/>
    <xf numFmtId="0" fontId="18" fillId="0" borderId="6" xfId="1" applyFont="1" applyFill="1" applyBorder="1" applyAlignment="1">
      <alignment wrapText="1"/>
    </xf>
    <xf numFmtId="165" fontId="23" fillId="5" borderId="14" xfId="1" applyNumberFormat="1" applyFont="1" applyFill="1" applyBorder="1" applyAlignment="1">
      <alignment horizontal="right"/>
    </xf>
    <xf numFmtId="167" fontId="27" fillId="0" borderId="0" xfId="59" applyNumberFormat="1" applyFont="1" applyFill="1" applyBorder="1" applyAlignment="1">
      <alignment horizontal="right"/>
    </xf>
    <xf numFmtId="0" fontId="0" fillId="0" borderId="16" xfId="0" applyBorder="1"/>
    <xf numFmtId="2" fontId="20" fillId="0" borderId="6" xfId="1" applyNumberFormat="1" applyFont="1" applyFill="1" applyBorder="1" applyAlignment="1">
      <alignment horizontal="left"/>
    </xf>
    <xf numFmtId="0" fontId="10" fillId="13" borderId="9" xfId="0" applyFont="1" applyFill="1" applyBorder="1" applyAlignment="1">
      <alignment wrapText="1"/>
    </xf>
    <xf numFmtId="0" fontId="10" fillId="0" borderId="0" xfId="88" applyFont="1" applyFill="1" applyBorder="1" applyAlignment="1">
      <alignment wrapText="1"/>
    </xf>
    <xf numFmtId="9" fontId="0" fillId="0" borderId="6" xfId="45" applyFont="1" applyFill="1" applyBorder="1"/>
    <xf numFmtId="0" fontId="10" fillId="12" borderId="9" xfId="0" applyFont="1" applyFill="1" applyBorder="1" applyAlignment="1">
      <alignment wrapText="1"/>
    </xf>
    <xf numFmtId="164" fontId="19" fillId="5" borderId="4" xfId="1" applyNumberFormat="1" applyFont="1" applyFill="1" applyBorder="1" applyAlignment="1">
      <alignment horizontal="center" vertical="center" wrapText="1"/>
    </xf>
    <xf numFmtId="165" fontId="1" fillId="0" borderId="0" xfId="59" applyNumberFormat="1" applyFont="1" applyFill="1" applyBorder="1" applyAlignment="1">
      <alignment horizontal="right"/>
    </xf>
    <xf numFmtId="0" fontId="10" fillId="12" borderId="16" xfId="0" applyFont="1" applyFill="1" applyBorder="1" applyAlignment="1">
      <alignment wrapText="1"/>
    </xf>
    <xf numFmtId="9" fontId="0" fillId="0" borderId="17" xfId="45" applyFont="1" applyFill="1" applyBorder="1"/>
    <xf numFmtId="9" fontId="0" fillId="0" borderId="1" xfId="45" applyFont="1" applyFill="1" applyBorder="1"/>
    <xf numFmtId="9" fontId="0" fillId="0" borderId="18" xfId="45" applyFont="1" applyFill="1" applyBorder="1"/>
    <xf numFmtId="43" fontId="0" fillId="0" borderId="0" xfId="48" applyNumberFormat="1" applyFont="1"/>
    <xf numFmtId="49" fontId="19" fillId="14" borderId="4" xfId="1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4" fontId="19" fillId="14" borderId="4" xfId="1" applyNumberFormat="1" applyFont="1" applyFill="1" applyBorder="1" applyAlignment="1">
      <alignment horizontal="center" vertical="center" wrapText="1"/>
    </xf>
    <xf numFmtId="0" fontId="27" fillId="0" borderId="6" xfId="0" applyFont="1" applyBorder="1"/>
    <xf numFmtId="0" fontId="27" fillId="15" borderId="6" xfId="0" applyFont="1" applyFill="1" applyBorder="1"/>
    <xf numFmtId="0" fontId="21" fillId="0" borderId="25" xfId="1" applyFont="1" applyFill="1" applyBorder="1" applyAlignment="1">
      <alignment wrapText="1"/>
    </xf>
    <xf numFmtId="49" fontId="19" fillId="4" borderId="6" xfId="1" applyNumberFormat="1" applyFont="1" applyFill="1" applyBorder="1" applyAlignment="1">
      <alignment horizontal="center" vertical="center" wrapText="1"/>
    </xf>
    <xf numFmtId="166" fontId="0" fillId="0" borderId="7" xfId="0" applyNumberFormat="1" applyBorder="1"/>
    <xf numFmtId="0" fontId="27" fillId="0" borderId="6" xfId="0" applyFont="1" applyFill="1" applyBorder="1"/>
    <xf numFmtId="0" fontId="22" fillId="0" borderId="6" xfId="1" applyFont="1" applyFill="1" applyBorder="1" applyAlignment="1">
      <alignment wrapText="1"/>
    </xf>
    <xf numFmtId="0" fontId="10" fillId="0" borderId="26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10" fontId="0" fillId="0" borderId="0" xfId="0" applyNumberFormat="1"/>
    <xf numFmtId="3" fontId="0" fillId="0" borderId="2" xfId="0" applyNumberFormat="1" applyBorder="1"/>
    <xf numFmtId="3" fontId="0" fillId="0" borderId="0" xfId="0" applyNumberFormat="1"/>
    <xf numFmtId="3" fontId="0" fillId="0" borderId="10" xfId="0" applyNumberFormat="1" applyBorder="1"/>
    <xf numFmtId="9" fontId="0" fillId="0" borderId="0" xfId="0" applyNumberFormat="1"/>
    <xf numFmtId="10" fontId="10" fillId="0" borderId="0" xfId="0" applyNumberFormat="1" applyFont="1"/>
    <xf numFmtId="3" fontId="0" fillId="0" borderId="15" xfId="0" applyNumberFormat="1" applyBorder="1"/>
    <xf numFmtId="3" fontId="0" fillId="0" borderId="13" xfId="0" applyNumberFormat="1" applyBorder="1"/>
    <xf numFmtId="3" fontId="10" fillId="0" borderId="0" xfId="0" applyNumberFormat="1" applyFont="1"/>
    <xf numFmtId="9" fontId="10" fillId="0" borderId="0" xfId="0" applyNumberFormat="1" applyFont="1"/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</cellXfs>
  <cellStyles count="98">
    <cellStyle name="20% - Accent3" xfId="88" builtinId="38"/>
    <cellStyle name="40% - Accent2 2" xfId="32" xr:uid="{00000000-0005-0000-0000-000000000000}"/>
    <cellStyle name="40% - Accent2 3" xfId="25" xr:uid="{00000000-0005-0000-0000-000001000000}"/>
    <cellStyle name="40% - Accent5 2" xfId="33" xr:uid="{00000000-0005-0000-0000-000003000000}"/>
    <cellStyle name="40% - Accent5 3" xfId="26" xr:uid="{00000000-0005-0000-0000-000004000000}"/>
    <cellStyle name="40% - Accent5 4" xfId="15" xr:uid="{00000000-0005-0000-0000-000032000000}"/>
    <cellStyle name="Comma" xfId="48" builtinId="3"/>
    <cellStyle name="Comma [0] 2" xfId="30" xr:uid="{00000000-0005-0000-0000-000006000000}"/>
    <cellStyle name="Comma 12 2" xfId="73" xr:uid="{00000000-0005-0000-0000-000007000000}"/>
    <cellStyle name="Comma 14" xfId="71" xr:uid="{00000000-0005-0000-0000-000008000000}"/>
    <cellStyle name="Comma 2" xfId="20" xr:uid="{00000000-0005-0000-0000-000007000000}"/>
    <cellStyle name="Comma 2 2" xfId="29" xr:uid="{00000000-0005-0000-0000-000008000000}"/>
    <cellStyle name="Comma 2 3" xfId="47" xr:uid="{3A48F811-8025-4BC2-8BBD-53B066854A84}"/>
    <cellStyle name="Comma 3" xfId="23" xr:uid="{00000000-0005-0000-0000-000009000000}"/>
    <cellStyle name="Comma 3 2" xfId="37" xr:uid="{00000000-0005-0000-0000-00000A000000}"/>
    <cellStyle name="Comma 4" xfId="40" xr:uid="{00000000-0005-0000-0000-00000B000000}"/>
    <cellStyle name="Comma 5" xfId="42" xr:uid="{00000000-0005-0000-0000-000035000000}"/>
    <cellStyle name="Comma 6" xfId="52" xr:uid="{E99AFBC6-F814-4130-AD7D-AE885D494441}"/>
    <cellStyle name="Comma 7" xfId="58" xr:uid="{4205392D-25FC-4546-B6F1-C658BC1F1384}"/>
    <cellStyle name="Comma 8" xfId="85" xr:uid="{26D964D9-D24D-4F0D-AB42-87E618A13769}"/>
    <cellStyle name="Comma 8 2" xfId="94" xr:uid="{20255198-D47A-4C9E-A872-D60A9B54BC01}"/>
    <cellStyle name="Currency" xfId="59" builtinId="4"/>
    <cellStyle name="Currency [0] 2" xfId="28" xr:uid="{00000000-0005-0000-0000-00000D000000}"/>
    <cellStyle name="Currency 10 10" xfId="7" xr:uid="{00000000-0005-0000-0000-00000E000000}"/>
    <cellStyle name="Currency 11 2 3" xfId="12" xr:uid="{00000000-0005-0000-0000-00000F000000}"/>
    <cellStyle name="Currency 2" xfId="10" xr:uid="{00000000-0005-0000-0000-000010000000}"/>
    <cellStyle name="Currency 2 10" xfId="14" xr:uid="{00000000-0005-0000-0000-000011000000}"/>
    <cellStyle name="Currency 2 2" xfId="64" xr:uid="{00000000-0005-0000-0000-000014000000}"/>
    <cellStyle name="Currency 2 3" xfId="89" xr:uid="{143E536D-D87C-4148-BE85-A1751BF5D074}"/>
    <cellStyle name="Currency 2 4" xfId="97" xr:uid="{E6E06CBA-5F90-4B11-81E8-3F575C9C8DD6}"/>
    <cellStyle name="Currency 23" xfId="78" xr:uid="{00000000-0005-0000-0000-000016000000}"/>
    <cellStyle name="Currency 3" xfId="3" xr:uid="{00000000-0005-0000-0000-00003C000000}"/>
    <cellStyle name="Currency 3 2" xfId="80" xr:uid="{00000000-0005-0000-0000-000018000000}"/>
    <cellStyle name="Currency 3 25" xfId="13" xr:uid="{00000000-0005-0000-0000-000012000000}"/>
    <cellStyle name="Currency 3 3" xfId="66" xr:uid="{00000000-0005-0000-0000-000017000000}"/>
    <cellStyle name="Currency 4" xfId="53" xr:uid="{8FA0C8C7-690C-49AB-9648-756DD3B76E74}"/>
    <cellStyle name="Currency 4 2" xfId="76" xr:uid="{00000000-0005-0000-0000-00001A000000}"/>
    <cellStyle name="Currency 5" xfId="86" xr:uid="{DA56D324-457C-470C-BFC0-B8E969C8F219}"/>
    <cellStyle name="Currency 5 2" xfId="95" xr:uid="{44206822-EFEF-47B4-9AC4-DEE9DBB8FA97}"/>
    <cellStyle name="Hyperlink 2" xfId="31" xr:uid="{00000000-0005-0000-0000-00001A000000}"/>
    <cellStyle name="Hyperlink 3" xfId="24" xr:uid="{00000000-0005-0000-0000-00001B000000}"/>
    <cellStyle name="Hyperlink 5" xfId="41" xr:uid="{00000000-0005-0000-0000-00001C000000}"/>
    <cellStyle name="Normal" xfId="0" builtinId="0"/>
    <cellStyle name="Normal 10" xfId="87" xr:uid="{F94B95F0-FFD0-45F7-9DE5-B5C5008F8CFD}"/>
    <cellStyle name="Normal 151" xfId="72" xr:uid="{00000000-0005-0000-0000-00001F000000}"/>
    <cellStyle name="Normal 2" xfId="1" xr:uid="{50C3D9A5-F899-4607-9E29-2897BFA33FB1}"/>
    <cellStyle name="Normal 2 11 3" xfId="74" xr:uid="{00000000-0005-0000-0000-000021000000}"/>
    <cellStyle name="Normal 2 2" xfId="5" xr:uid="{00000000-0005-0000-0000-00001F000000}"/>
    <cellStyle name="Normal 2 2 2" xfId="27" xr:uid="{00000000-0005-0000-0000-000020000000}"/>
    <cellStyle name="Normal 2 2 3" xfId="69" xr:uid="{00000000-0005-0000-0000-000022000000}"/>
    <cellStyle name="Normal 2 2 5" xfId="17" xr:uid="{00000000-0005-0000-0000-000021000000}"/>
    <cellStyle name="Normal 2 3" xfId="35" xr:uid="{00000000-0005-0000-0000-000022000000}"/>
    <cellStyle name="Normal 2 3 2" xfId="68" xr:uid="{00000000-0005-0000-0000-000025000000}"/>
    <cellStyle name="Normal 2 3 3" xfId="90" xr:uid="{B34DD2DA-D31B-4B03-9B94-C4545E39AFE9}"/>
    <cellStyle name="Normal 2 4" xfId="18" xr:uid="{00000000-0005-0000-0000-00001E000000}"/>
    <cellStyle name="Normal 2 5" xfId="46" xr:uid="{68EDE517-228D-46EB-B357-15169F807378}"/>
    <cellStyle name="Normal 2 6" xfId="81" xr:uid="{C258D477-25EC-4624-B431-85443C663073}"/>
    <cellStyle name="Normal 3" xfId="21" xr:uid="{00000000-0005-0000-0000-000023000000}"/>
    <cellStyle name="Normal 3 2" xfId="38" xr:uid="{00000000-0005-0000-0000-000024000000}"/>
    <cellStyle name="Normal 3 2 2" xfId="61" xr:uid="{00000000-0005-0000-0000-000029000000}"/>
    <cellStyle name="Normal 3 3" xfId="49" xr:uid="{59E9F85D-80A7-4625-A739-AD3F109A52D7}"/>
    <cellStyle name="Normal 3 3 2" xfId="11" xr:uid="{00000000-0005-0000-0000-000025000000}"/>
    <cellStyle name="Normal 3 4" xfId="60" xr:uid="{00000000-0005-0000-0000-000028000000}"/>
    <cellStyle name="Normal 3 5" xfId="96" xr:uid="{40171DE9-51CB-457F-ACD6-BA064BD39738}"/>
    <cellStyle name="Normal 4" xfId="43" xr:uid="{00000000-0005-0000-0000-000026000000}"/>
    <cellStyle name="Normal 4 2" xfId="70" xr:uid="{00000000-0005-0000-0000-00002C000000}"/>
    <cellStyle name="Normal 4 3" xfId="82" xr:uid="{EEF32F37-6274-48F4-9FD4-271F6677F62A}"/>
    <cellStyle name="Normal 4 4" xfId="62" xr:uid="{00000000-0005-0000-0000-00002B000000}"/>
    <cellStyle name="Normal 5" xfId="44" xr:uid="{00000000-0005-0000-0000-000027000000}"/>
    <cellStyle name="Normal 5 2" xfId="79" xr:uid="{00000000-0005-0000-0000-00002E000000}"/>
    <cellStyle name="Normal 5 3" xfId="65" xr:uid="{00000000-0005-0000-0000-00002D000000}"/>
    <cellStyle name="Normal 6" xfId="2" xr:uid="{00000000-0005-0000-0000-000047000000}"/>
    <cellStyle name="Normal 6 2" xfId="54" xr:uid="{68F16885-062B-4573-92C1-E5374B91A43E}"/>
    <cellStyle name="Normal 6 3" xfId="92" xr:uid="{00000000-0005-0000-0000-00003D000000}"/>
    <cellStyle name="Normal 7" xfId="50" xr:uid="{43517783-DF34-41E6-A815-3D14BE163B46}"/>
    <cellStyle name="Normal 8" xfId="56" xr:uid="{9AE91A76-A9F1-4FF8-A9D2-B28148365998}"/>
    <cellStyle name="Normal 9" xfId="84" xr:uid="{DE507443-01AB-4B60-ADDD-512487AB6078}"/>
    <cellStyle name="Normal 9 2" xfId="93" xr:uid="{40EB77CC-8C35-4F1B-B15D-A01D1A81920D}"/>
    <cellStyle name="Note 2" xfId="63" xr:uid="{00000000-0005-0000-0000-000030000000}"/>
    <cellStyle name="Note 2 2" xfId="91" xr:uid="{00000000-0005-0000-0000-00003A000000}"/>
    <cellStyle name="Percent" xfId="45" builtinId="5"/>
    <cellStyle name="Percent 18" xfId="34" xr:uid="{00000000-0005-0000-0000-000029000000}"/>
    <cellStyle name="Percent 2" xfId="9" xr:uid="{00000000-0005-0000-0000-00002A000000}"/>
    <cellStyle name="Percent 2 2" xfId="6" xr:uid="{00000000-0005-0000-0000-00002B000000}"/>
    <cellStyle name="Percent 2 2 2" xfId="77" xr:uid="{00000000-0005-0000-0000-000034000000}"/>
    <cellStyle name="Percent 2 3" xfId="67" xr:uid="{00000000-0005-0000-0000-000033000000}"/>
    <cellStyle name="Percent 3" xfId="19" xr:uid="{00000000-0005-0000-0000-00002C000000}"/>
    <cellStyle name="Percent 3 2" xfId="36" xr:uid="{00000000-0005-0000-0000-00002D000000}"/>
    <cellStyle name="Percent 3 3" xfId="75" xr:uid="{00000000-0005-0000-0000-000035000000}"/>
    <cellStyle name="Percent 4" xfId="22" xr:uid="{00000000-0005-0000-0000-00002E000000}"/>
    <cellStyle name="Percent 4 2" xfId="39" xr:uid="{00000000-0005-0000-0000-00002F000000}"/>
    <cellStyle name="Percent 5" xfId="4" xr:uid="{00000000-0005-0000-0000-000052000000}"/>
    <cellStyle name="Percent 5 10" xfId="8" xr:uid="{00000000-0005-0000-0000-000030000000}"/>
    <cellStyle name="Percent 5 10 2" xfId="16" xr:uid="{00000000-0005-0000-0000-000031000000}"/>
    <cellStyle name="Percent 6" xfId="51" xr:uid="{A6C91195-C18D-436C-A5BB-5745DD22B2EB}"/>
    <cellStyle name="Percent 6 2" xfId="83" xr:uid="{ADAE99D8-8FC4-4F1E-8283-AF179EA7DC30}"/>
    <cellStyle name="Percent 7" xfId="55" xr:uid="{43CAB761-189F-455B-8A60-944C0B234B45}"/>
    <cellStyle name="Percent 8" xfId="57" xr:uid="{6F8A8F77-3857-4E04-B157-9797A4DACF15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5D5"/>
      <color rgb="FF26B8FA"/>
      <color rgb="FFFECEFE"/>
      <color rgb="FFCCCCFF"/>
      <color rgb="FFFF99FF"/>
      <color rgb="FF43D6DD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mfine01/AppData/Local/Microsoft/Windows/INetCache/Content.Outlook/FBN3LC0B/UC_DY1_FinalRecon_EY2016%20(3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rcantu05/Desktop/DSH%20Audits/2011/Amended%20March%202015/Master/1310%20Final%20Revised%2003112015%20Statewide%20DSH%20Master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hs/RAH_ShareDrive/HRA/UPL/IP&amp;OP%20MCO%20UPL%20for%20UHRIP/2022%20UPLs%20without%20UHRIP/UPL_20210901-20220831_IP_R06_TX_02_wo_UHRIP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R1004VFSRV01.txhhsc.txnet.state.tx.us\MyDocs1$\AC%20&amp;%20Hosp\UHRIP\PGY3\Actuarial\SFY20%20UHRIP%20Workbook%20-%2020190424%20PRELI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alhost\Rate%20Analysis\AC%20&amp;%20Hosp\2017%20Tools\Sending%20Apps\2017%20Apps\DY%206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hs/RAH_ShareDrive/HRA/UPL/2022/IMD/UPL_20210901_20220831_IMD_R06_TX_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AC%20&amp;%20Hosp/DRM/Modeling%20Requests%20FY%202021/NAIP%20Reduction/NAIP%20UPL%20Reduction%20Calculation_Revised_December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dheinemann01/Desktop/2021%20Qualifications/DY10%20DSH_UC%20Application%20Master%20WIP_mf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>
        <row r="3">
          <cell r="A3">
            <v>454000</v>
          </cell>
        </row>
      </sheetData>
      <sheetData sheetId="4" refreshError="1"/>
      <sheetData sheetId="5">
        <row r="2">
          <cell r="B2">
            <v>450558</v>
          </cell>
        </row>
      </sheetData>
      <sheetData sheetId="6">
        <row r="5">
          <cell r="C5">
            <v>450002</v>
          </cell>
        </row>
      </sheetData>
      <sheetData sheetId="7" refreshError="1"/>
      <sheetData sheetId="8">
        <row r="22">
          <cell r="N22">
            <v>40817</v>
          </cell>
          <cell r="P22">
            <v>41182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40452</v>
          </cell>
          <cell r="B4">
            <v>40816</v>
          </cell>
        </row>
      </sheetData>
      <sheetData sheetId="6"/>
      <sheetData sheetId="7">
        <row r="2">
          <cell r="A2" t="str">
            <v>Medicare Number</v>
          </cell>
          <cell r="B2" t="str">
            <v>TPI</v>
          </cell>
          <cell r="C2" t="str">
            <v>QUALIFIED HOSPITAL</v>
          </cell>
          <cell r="D2" t="str">
            <v>DSH CAP (Estimated HSL)</v>
          </cell>
        </row>
        <row r="3">
          <cell r="A3" t="str">
            <v>450082</v>
          </cell>
          <cell r="B3" t="str">
            <v>020811801</v>
          </cell>
          <cell r="C3" t="str">
            <v>CHRISTUS SPOHN HOSPITAL - BEEVILLE</v>
          </cell>
          <cell r="D3">
            <v>3761786</v>
          </cell>
        </row>
        <row r="4">
          <cell r="A4" t="str">
            <v>450083</v>
          </cell>
          <cell r="B4" t="str">
            <v>020812601</v>
          </cell>
          <cell r="C4" t="str">
            <v>EAST TEXAS MEDICAL CENTER-TYLER</v>
          </cell>
          <cell r="D4">
            <v>22749751</v>
          </cell>
        </row>
        <row r="5">
          <cell r="A5" t="str">
            <v>450097</v>
          </cell>
          <cell r="B5" t="str">
            <v>020817501</v>
          </cell>
          <cell r="C5" t="str">
            <v>BAYSHORE MEDICAL CENTER</v>
          </cell>
          <cell r="D5">
            <v>28910566</v>
          </cell>
        </row>
        <row r="6">
          <cell r="A6" t="str">
            <v>450184</v>
          </cell>
          <cell r="B6" t="str">
            <v>020834001</v>
          </cell>
          <cell r="C6" t="str">
            <v>MEMORIAL HERMANN HOSPITAL SYSTEM</v>
          </cell>
          <cell r="D6">
            <v>116653466</v>
          </cell>
        </row>
        <row r="7">
          <cell r="A7" t="str">
            <v>450219</v>
          </cell>
          <cell r="B7" t="str">
            <v>020840701</v>
          </cell>
          <cell r="C7" t="str">
            <v>LLANO MEMORIAL HOSPITAL</v>
          </cell>
          <cell r="D7">
            <v>761705</v>
          </cell>
        </row>
        <row r="8">
          <cell r="A8" t="str">
            <v>450237</v>
          </cell>
          <cell r="B8" t="str">
            <v>020844901</v>
          </cell>
          <cell r="C8" t="str">
            <v>CHRISTUS SANTA ROSA HEALTH CARE</v>
          </cell>
          <cell r="D8">
            <v>63023841</v>
          </cell>
        </row>
        <row r="9">
          <cell r="A9" t="str">
            <v>450587</v>
          </cell>
          <cell r="B9" t="str">
            <v>020930601</v>
          </cell>
          <cell r="C9" t="str">
            <v>BROWNWOOD REGIONAL MEDICAL CTR</v>
          </cell>
          <cell r="D9">
            <v>3371554</v>
          </cell>
        </row>
        <row r="10">
          <cell r="A10" t="str">
            <v>450662</v>
          </cell>
          <cell r="B10" t="str">
            <v>020947001</v>
          </cell>
          <cell r="C10" t="str">
            <v>VALLEY REGIONAL MEDICAL CENTER</v>
          </cell>
          <cell r="D10">
            <v>20355806</v>
          </cell>
        </row>
        <row r="11">
          <cell r="A11" t="str">
            <v>450788</v>
          </cell>
          <cell r="B11" t="str">
            <v>020973601</v>
          </cell>
          <cell r="C11" t="str">
            <v>CORPUS CHRISTI MEDICAL CENTER</v>
          </cell>
          <cell r="D11">
            <v>12137897</v>
          </cell>
        </row>
        <row r="12">
          <cell r="A12" t="str">
            <v>450801</v>
          </cell>
          <cell r="B12" t="str">
            <v>020976901</v>
          </cell>
          <cell r="C12" t="str">
            <v>CHRISTUS ST MICHAEL HEALTH SYSTEM</v>
          </cell>
          <cell r="D12">
            <v>33386345</v>
          </cell>
        </row>
        <row r="13">
          <cell r="A13" t="str">
            <v>451317</v>
          </cell>
          <cell r="B13" t="str">
            <v>020991801</v>
          </cell>
          <cell r="C13" t="str">
            <v>MEMORIAL HOSPITAL DISTRICT-REFUGIO</v>
          </cell>
          <cell r="D13">
            <v>685791</v>
          </cell>
        </row>
        <row r="14">
          <cell r="A14" t="str">
            <v>453300</v>
          </cell>
          <cell r="B14" t="str">
            <v>021184901</v>
          </cell>
          <cell r="C14" t="str">
            <v>COOK CHILDREN'S MEDICAL CENTER</v>
          </cell>
          <cell r="D14">
            <v>11197247</v>
          </cell>
        </row>
        <row r="15">
          <cell r="A15" t="str">
            <v>453309</v>
          </cell>
          <cell r="B15" t="str">
            <v>021185601</v>
          </cell>
          <cell r="C15" t="str">
            <v>HEALTHBRIDGE CHILDREN'S HOSPITAL</v>
          </cell>
          <cell r="D15">
            <v>166159</v>
          </cell>
        </row>
        <row r="16">
          <cell r="A16" t="e">
            <v>#N/A</v>
          </cell>
          <cell r="B16" t="str">
            <v>021189801</v>
          </cell>
          <cell r="C16" t="str">
            <v>MILLWOOD HOSPITAL</v>
          </cell>
          <cell r="D16">
            <v>-1641025</v>
          </cell>
        </row>
        <row r="17">
          <cell r="A17" t="str">
            <v>454084</v>
          </cell>
          <cell r="B17" t="str">
            <v>021194801</v>
          </cell>
          <cell r="C17" t="str">
            <v>AUSTIN STATE HOSP</v>
          </cell>
          <cell r="D17">
            <v>56361493</v>
          </cell>
        </row>
        <row r="18">
          <cell r="A18" t="str">
            <v>454008</v>
          </cell>
          <cell r="B18" t="str">
            <v>021195501</v>
          </cell>
          <cell r="C18" t="str">
            <v>N TEXAS STATE-WICHITA FALLS and VERNON</v>
          </cell>
          <cell r="D18">
            <v>104028388</v>
          </cell>
        </row>
        <row r="19">
          <cell r="A19" t="e">
            <v>#N/A</v>
          </cell>
          <cell r="B19" t="str">
            <v>021214401</v>
          </cell>
          <cell r="C19" t="str">
            <v>DEVEREUX-TEXAS TREATMENT</v>
          </cell>
          <cell r="D19">
            <v>-204885</v>
          </cell>
        </row>
        <row r="20">
          <cell r="A20" t="str">
            <v>454114</v>
          </cell>
          <cell r="B20" t="str">
            <v>021215102</v>
          </cell>
          <cell r="C20" t="str">
            <v>CEDAR CREST HOSPITAL</v>
          </cell>
          <cell r="D20">
            <v>2903546</v>
          </cell>
        </row>
        <row r="21">
          <cell r="A21" t="str">
            <v>454088</v>
          </cell>
          <cell r="B21" t="str">
            <v>021219301</v>
          </cell>
          <cell r="C21" t="str">
            <v>RIO  GRANDE STATE HOSP</v>
          </cell>
          <cell r="D21">
            <v>15220723</v>
          </cell>
        </row>
        <row r="22">
          <cell r="A22" t="str">
            <v>454096</v>
          </cell>
          <cell r="B22" t="str">
            <v>021223501</v>
          </cell>
          <cell r="C22" t="str">
            <v>PADRE BEHAVIORAL HOSPITAL</v>
          </cell>
          <cell r="D22">
            <v>20125</v>
          </cell>
        </row>
        <row r="23">
          <cell r="A23" t="str">
            <v>450253</v>
          </cell>
          <cell r="B23" t="str">
            <v>083290905</v>
          </cell>
          <cell r="C23" t="str">
            <v>BELLVILLE GENERAL HOSPITAL</v>
          </cell>
          <cell r="D23">
            <v>473322</v>
          </cell>
        </row>
        <row r="24">
          <cell r="A24" t="str">
            <v>451325</v>
          </cell>
          <cell r="B24" t="str">
            <v>091770005</v>
          </cell>
          <cell r="C24" t="str">
            <v>CONCHO COUNTY HOSPITAL</v>
          </cell>
          <cell r="D24">
            <v>399567</v>
          </cell>
        </row>
        <row r="25">
          <cell r="A25" t="str">
            <v>450018</v>
          </cell>
          <cell r="B25" t="str">
            <v>094092602</v>
          </cell>
          <cell r="C25" t="str">
            <v>UNIV OF TEX MED BRANCH</v>
          </cell>
          <cell r="D25">
            <v>62627913</v>
          </cell>
        </row>
        <row r="26">
          <cell r="A26" t="str">
            <v>450037</v>
          </cell>
          <cell r="B26" t="str">
            <v>094095902</v>
          </cell>
          <cell r="C26" t="str">
            <v>GOOD SHEPHERD MEDICAL CENTER</v>
          </cell>
          <cell r="D26">
            <v>23785497</v>
          </cell>
        </row>
        <row r="27">
          <cell r="A27" t="str">
            <v>450102</v>
          </cell>
          <cell r="B27" t="str">
            <v>094108002</v>
          </cell>
          <cell r="C27" t="str">
            <v>MOTHER FRANCES HOSP REG HEALTHCARE CTR</v>
          </cell>
          <cell r="D27">
            <v>15153890</v>
          </cell>
        </row>
        <row r="28">
          <cell r="A28" t="str">
            <v>450107</v>
          </cell>
          <cell r="B28" t="str">
            <v>094109802</v>
          </cell>
          <cell r="C28" t="str">
            <v>LAS PALMAS MEDICAL CENTER</v>
          </cell>
          <cell r="D28">
            <v>25088305</v>
          </cell>
        </row>
        <row r="29">
          <cell r="A29" t="str">
            <v>450119</v>
          </cell>
          <cell r="B29" t="str">
            <v>094113001</v>
          </cell>
          <cell r="C29" t="str">
            <v>SOUTH TEXAS HEALTH SYSTEM</v>
          </cell>
          <cell r="D29">
            <v>29753896</v>
          </cell>
        </row>
        <row r="30">
          <cell r="A30" t="str">
            <v>450147</v>
          </cell>
          <cell r="B30" t="str">
            <v>094118902</v>
          </cell>
          <cell r="C30" t="str">
            <v>DETAR HOSPITAL</v>
          </cell>
          <cell r="D30">
            <v>4865973</v>
          </cell>
        </row>
        <row r="31">
          <cell r="A31" t="str">
            <v>450152</v>
          </cell>
          <cell r="B31" t="str">
            <v>094119702</v>
          </cell>
          <cell r="C31" t="str">
            <v>METROPLEX ADVENTIST HOSPITAL</v>
          </cell>
          <cell r="D31">
            <v>7722905</v>
          </cell>
        </row>
        <row r="32">
          <cell r="A32" t="str">
            <v>451358</v>
          </cell>
          <cell r="B32" t="str">
            <v>094121303</v>
          </cell>
          <cell r="C32" t="str">
            <v>MEMORIAL HOSPITAL-SEMINOLE</v>
          </cell>
          <cell r="D32">
            <v>1969956</v>
          </cell>
        </row>
        <row r="33">
          <cell r="A33" t="str">
            <v>450210</v>
          </cell>
          <cell r="B33" t="str">
            <v>094127002</v>
          </cell>
          <cell r="C33" t="str">
            <v>EAST TEXAS MEDICAL CENTER-CARTHAGE</v>
          </cell>
          <cell r="D33">
            <v>1365102</v>
          </cell>
        </row>
        <row r="34">
          <cell r="A34" t="str">
            <v>450221</v>
          </cell>
          <cell r="B34" t="str">
            <v>094129602</v>
          </cell>
          <cell r="C34" t="str">
            <v>MOORE COUNTY HOSPITAL DISTRICT</v>
          </cell>
          <cell r="D34">
            <v>637401</v>
          </cell>
        </row>
        <row r="35">
          <cell r="A35" t="str">
            <v>450243</v>
          </cell>
          <cell r="B35" t="str">
            <v>094131202</v>
          </cell>
          <cell r="C35" t="str">
            <v>HAMLIN MEMORIAL HOSPITAL</v>
          </cell>
          <cell r="D35">
            <v>311535</v>
          </cell>
        </row>
        <row r="36">
          <cell r="A36" t="str">
            <v>450388</v>
          </cell>
          <cell r="B36" t="str">
            <v>094154402</v>
          </cell>
          <cell r="C36" t="str">
            <v>METHODIST HOSPITAL</v>
          </cell>
          <cell r="D36">
            <v>69688339</v>
          </cell>
        </row>
        <row r="37">
          <cell r="A37" t="str">
            <v>450431</v>
          </cell>
          <cell r="B37" t="str">
            <v>094160102</v>
          </cell>
          <cell r="C37" t="str">
            <v>ST DAVID'S MEDICAL CENTER</v>
          </cell>
          <cell r="D37">
            <v>21696164</v>
          </cell>
        </row>
        <row r="38">
          <cell r="A38" t="str">
            <v>450475</v>
          </cell>
          <cell r="B38" t="str">
            <v>094162702</v>
          </cell>
          <cell r="C38" t="str">
            <v>HENDERSON MEMORIAL HOSPITAL</v>
          </cell>
          <cell r="D38">
            <v>828902</v>
          </cell>
        </row>
        <row r="39">
          <cell r="A39" t="str">
            <v>451312</v>
          </cell>
          <cell r="B39" t="str">
            <v>094171801</v>
          </cell>
          <cell r="C39" t="str">
            <v>RICE MEDICAL CENTER</v>
          </cell>
          <cell r="D39">
            <v>825948</v>
          </cell>
        </row>
        <row r="40">
          <cell r="A40" t="str">
            <v>450643</v>
          </cell>
          <cell r="B40" t="str">
            <v>094186602</v>
          </cell>
          <cell r="C40" t="str">
            <v>DOCTORS HOSPITAL - LAREDO</v>
          </cell>
          <cell r="D40">
            <v>4411440</v>
          </cell>
        </row>
        <row r="41">
          <cell r="A41" t="str">
            <v>450828</v>
          </cell>
          <cell r="B41" t="str">
            <v>094222902</v>
          </cell>
          <cell r="C41" t="str">
            <v>CHRISTUS SPOHN HOSPITAL -  ALICE</v>
          </cell>
          <cell r="D41">
            <v>4255480</v>
          </cell>
        </row>
        <row r="42">
          <cell r="A42" t="str">
            <v>451378</v>
          </cell>
          <cell r="B42" t="str">
            <v>094224503</v>
          </cell>
          <cell r="C42" t="str">
            <v>BIG BEND REGIONAL MEDICAL CENTER</v>
          </cell>
          <cell r="D42">
            <v>2464586</v>
          </cell>
        </row>
        <row r="43">
          <cell r="A43" t="str">
            <v>453308</v>
          </cell>
          <cell r="B43" t="str">
            <v>094357302</v>
          </cell>
          <cell r="C43" t="str">
            <v>OUR CHILDREN'S HOUSE AT BAYLOR</v>
          </cell>
          <cell r="D43">
            <v>1794015</v>
          </cell>
        </row>
        <row r="44">
          <cell r="A44" t="str">
            <v>450092</v>
          </cell>
          <cell r="B44" t="str">
            <v>110803703</v>
          </cell>
          <cell r="C44" t="str">
            <v>FORT DUNCAN REGIONAL MEDICAL CENTER</v>
          </cell>
          <cell r="D44">
            <v>5831497</v>
          </cell>
        </row>
        <row r="45">
          <cell r="A45" t="str">
            <v>451354</v>
          </cell>
          <cell r="B45" t="str">
            <v>110856504</v>
          </cell>
          <cell r="C45" t="str">
            <v>HAMILTON HOSPITAL</v>
          </cell>
          <cell r="D45">
            <v>1290646</v>
          </cell>
        </row>
        <row r="46">
          <cell r="A46" t="str">
            <v>450032</v>
          </cell>
          <cell r="B46" t="str">
            <v>112667403</v>
          </cell>
          <cell r="C46" t="str">
            <v>Good Shepherd Medical Center - Marshall</v>
          </cell>
          <cell r="D46">
            <v>6095598</v>
          </cell>
        </row>
        <row r="47">
          <cell r="A47" t="str">
            <v>450076</v>
          </cell>
          <cell r="B47" t="str">
            <v>112672402</v>
          </cell>
          <cell r="C47" t="str">
            <v>M. D. ANDERSON CANCER CENTER</v>
          </cell>
          <cell r="D47">
            <v>49050767</v>
          </cell>
        </row>
        <row r="48">
          <cell r="A48" t="str">
            <v>451346</v>
          </cell>
          <cell r="B48" t="str">
            <v>112673204</v>
          </cell>
          <cell r="C48" t="str">
            <v>YOAKUM COMMUNITY HOSPITAL</v>
          </cell>
          <cell r="D48">
            <v>1156049</v>
          </cell>
        </row>
        <row r="49">
          <cell r="A49" t="str">
            <v>450135</v>
          </cell>
          <cell r="B49" t="str">
            <v>112677302</v>
          </cell>
          <cell r="C49" t="str">
            <v>TEXAS HEALTH FORT WORTH</v>
          </cell>
          <cell r="D49">
            <v>67556896</v>
          </cell>
        </row>
        <row r="50">
          <cell r="A50" t="str">
            <v>450176</v>
          </cell>
          <cell r="B50" t="str">
            <v>112679902</v>
          </cell>
          <cell r="C50" t="str">
            <v>MISSION REGIONAL MEDICAL CENTER</v>
          </cell>
          <cell r="D50">
            <v>14190330</v>
          </cell>
        </row>
        <row r="51">
          <cell r="A51" t="str">
            <v>451377</v>
          </cell>
          <cell r="B51" t="str">
            <v>112684904</v>
          </cell>
          <cell r="C51" t="str">
            <v>REEVES COUNTY HOSPITAL</v>
          </cell>
          <cell r="D51">
            <v>1891289</v>
          </cell>
        </row>
        <row r="52">
          <cell r="A52" t="str">
            <v>450293</v>
          </cell>
          <cell r="B52" t="str">
            <v>112688002</v>
          </cell>
          <cell r="C52" t="str">
            <v>FRIO HOSPITAL</v>
          </cell>
          <cell r="D52">
            <v>1658161</v>
          </cell>
        </row>
        <row r="53">
          <cell r="A53" t="str">
            <v>450620</v>
          </cell>
          <cell r="B53" t="str">
            <v>112690603</v>
          </cell>
          <cell r="C53" t="str">
            <v>DIMMIT COUNTY MEMORIAL HOSPITAL</v>
          </cell>
          <cell r="D53">
            <v>1892872</v>
          </cell>
        </row>
        <row r="54">
          <cell r="A54" t="str">
            <v>450395</v>
          </cell>
          <cell r="B54" t="str">
            <v>112697102</v>
          </cell>
          <cell r="C54" t="str">
            <v>POLK COUNTY MEMORIAL HOSP</v>
          </cell>
          <cell r="D54">
            <v>5724882</v>
          </cell>
        </row>
        <row r="55">
          <cell r="A55" t="str">
            <v>450447</v>
          </cell>
          <cell r="B55" t="str">
            <v>112701102</v>
          </cell>
          <cell r="C55" t="str">
            <v>NAVARRO REGIONAL HOSPITAL</v>
          </cell>
          <cell r="D55">
            <v>3665202</v>
          </cell>
        </row>
        <row r="56">
          <cell r="A56" t="e">
            <v>#N/A</v>
          </cell>
          <cell r="B56" t="str">
            <v>112704504</v>
          </cell>
          <cell r="C56" t="str">
            <v>OCHILTREE HOSPITAL DISTRICT</v>
          </cell>
          <cell r="D56">
            <v>-137327</v>
          </cell>
        </row>
        <row r="57">
          <cell r="A57" t="str">
            <v>450573</v>
          </cell>
          <cell r="B57" t="str">
            <v>112706003</v>
          </cell>
          <cell r="C57" t="str">
            <v>CHRISTUS JASPER MEMORIAL HOSPITAL</v>
          </cell>
          <cell r="D57">
            <v>2272204</v>
          </cell>
        </row>
        <row r="58">
          <cell r="A58" t="str">
            <v>450711</v>
          </cell>
          <cell r="B58" t="str">
            <v>112716902</v>
          </cell>
          <cell r="C58" t="str">
            <v>RIO GRANDE REGIONAL HOSPITAL</v>
          </cell>
          <cell r="D58">
            <v>14351907</v>
          </cell>
        </row>
        <row r="59">
          <cell r="A59" t="str">
            <v>450716</v>
          </cell>
          <cell r="B59" t="str">
            <v>112718503</v>
          </cell>
          <cell r="C59" t="str">
            <v>CYPRESS FAIRBANKS MEDICAL CENTER</v>
          </cell>
          <cell r="D59">
            <v>7089948</v>
          </cell>
        </row>
        <row r="60">
          <cell r="A60" t="str">
            <v>450803</v>
          </cell>
          <cell r="B60" t="str">
            <v>112727604</v>
          </cell>
          <cell r="C60" t="str">
            <v>DOCTORS HOSPITAL-TIDWELL</v>
          </cell>
          <cell r="D60">
            <v>3265692</v>
          </cell>
        </row>
        <row r="61">
          <cell r="A61" t="str">
            <v>453323</v>
          </cell>
          <cell r="B61" t="str">
            <v>112742503</v>
          </cell>
          <cell r="C61" t="str">
            <v>CLARITY CHILD GUIDANCE CENTER</v>
          </cell>
          <cell r="D61">
            <v>1791277</v>
          </cell>
        </row>
        <row r="62">
          <cell r="A62" t="str">
            <v>454100</v>
          </cell>
          <cell r="B62" t="str">
            <v>112751605</v>
          </cell>
          <cell r="C62" t="str">
            <v>EL PASO PSYCHIATRIC CENTER</v>
          </cell>
          <cell r="D62">
            <v>17949625</v>
          </cell>
        </row>
        <row r="63">
          <cell r="A63" t="str">
            <v>450241</v>
          </cell>
          <cell r="B63" t="str">
            <v>119874904</v>
          </cell>
          <cell r="C63" t="str">
            <v>FAITH COMMUNITY HOSPITAL</v>
          </cell>
          <cell r="D63">
            <v>475188</v>
          </cell>
        </row>
        <row r="64">
          <cell r="A64" t="str">
            <v>450154</v>
          </cell>
          <cell r="B64" t="str">
            <v>119877204</v>
          </cell>
          <cell r="C64" t="str">
            <v>VAL VERDE REGIONAL MED CENTER</v>
          </cell>
          <cell r="D64">
            <v>6549320</v>
          </cell>
        </row>
        <row r="65">
          <cell r="A65" t="str">
            <v>450746</v>
          </cell>
          <cell r="B65" t="str">
            <v>121053602</v>
          </cell>
          <cell r="C65" t="str">
            <v>KNOX COUNTY HOSPITAL</v>
          </cell>
          <cell r="D65">
            <v>202429</v>
          </cell>
        </row>
        <row r="66">
          <cell r="A66" t="str">
            <v>451352</v>
          </cell>
          <cell r="B66" t="str">
            <v>121692107</v>
          </cell>
          <cell r="C66" t="str">
            <v>HARDEMAN COUNTY MEMORIAL</v>
          </cell>
          <cell r="D66">
            <v>326649</v>
          </cell>
        </row>
        <row r="67">
          <cell r="A67" t="str">
            <v>450090</v>
          </cell>
          <cell r="B67" t="str">
            <v>121777003</v>
          </cell>
          <cell r="C67" t="str">
            <v>NORTH TEXAS MEDICAL CENTER</v>
          </cell>
          <cell r="D67">
            <v>2429962</v>
          </cell>
        </row>
        <row r="68">
          <cell r="A68" t="str">
            <v>450165</v>
          </cell>
          <cell r="B68" t="str">
            <v>121780403</v>
          </cell>
          <cell r="C68" t="str">
            <v>SOUTH TEXAS REGIONAL MEDICAL</v>
          </cell>
          <cell r="D68">
            <v>2875302</v>
          </cell>
        </row>
        <row r="69">
          <cell r="A69" t="str">
            <v>451324</v>
          </cell>
          <cell r="B69" t="str">
            <v>121781205</v>
          </cell>
          <cell r="C69" t="str">
            <v>LILLIAN M HUDSPETH MEMORIAL HOSP</v>
          </cell>
          <cell r="D69">
            <v>785180</v>
          </cell>
        </row>
        <row r="70">
          <cell r="A70" t="str">
            <v>450177</v>
          </cell>
          <cell r="B70" t="str">
            <v>121782003</v>
          </cell>
          <cell r="C70" t="str">
            <v>UVALDE MEMORIAL HOSPITAL</v>
          </cell>
          <cell r="D70">
            <v>3692120</v>
          </cell>
        </row>
        <row r="71">
          <cell r="A71" t="str">
            <v>450234</v>
          </cell>
          <cell r="B71" t="str">
            <v>121784603</v>
          </cell>
          <cell r="C71" t="str">
            <v>COMANCHE COMMUNITY HOSPITAL</v>
          </cell>
          <cell r="D71">
            <v>415758</v>
          </cell>
        </row>
        <row r="72">
          <cell r="A72" t="str">
            <v>450235</v>
          </cell>
          <cell r="B72" t="str">
            <v>121785303</v>
          </cell>
          <cell r="C72" t="str">
            <v>MEMORIAL HOSPITAL-GONZALES</v>
          </cell>
          <cell r="D72">
            <v>2112085</v>
          </cell>
        </row>
        <row r="73">
          <cell r="A73" t="str">
            <v>450591</v>
          </cell>
          <cell r="B73" t="str">
            <v>121805903</v>
          </cell>
          <cell r="C73" t="str">
            <v>ANGLETON DANBURY MEDICAL CENTER</v>
          </cell>
          <cell r="D73">
            <v>4576612</v>
          </cell>
        </row>
        <row r="74">
          <cell r="A74" t="str">
            <v>450617</v>
          </cell>
          <cell r="B74" t="str">
            <v>121807504</v>
          </cell>
          <cell r="C74" t="str">
            <v>CLEAR LAKE REGIONAL MEDICAL</v>
          </cell>
          <cell r="D74">
            <v>3769234</v>
          </cell>
        </row>
        <row r="75">
          <cell r="A75" t="str">
            <v>451363</v>
          </cell>
          <cell r="B75" t="str">
            <v>121808305</v>
          </cell>
          <cell r="C75" t="str">
            <v>JACKSON COUNTY HOSPITAL</v>
          </cell>
          <cell r="D75">
            <v>2186708</v>
          </cell>
        </row>
        <row r="76">
          <cell r="A76" t="str">
            <v>450833</v>
          </cell>
          <cell r="B76" t="str">
            <v>121822403</v>
          </cell>
          <cell r="C76" t="str">
            <v>ENNIS REGIONAL MEDICAL CENTER</v>
          </cell>
          <cell r="D76">
            <v>2649791</v>
          </cell>
        </row>
        <row r="77">
          <cell r="A77" t="e">
            <v>#N/A</v>
          </cell>
          <cell r="B77" t="str">
            <v>121829902</v>
          </cell>
          <cell r="C77" t="str">
            <v>WEST OAKS HOSPITAL INC</v>
          </cell>
          <cell r="D77">
            <v>-1286962</v>
          </cell>
        </row>
        <row r="78">
          <cell r="A78" t="str">
            <v>451337</v>
          </cell>
          <cell r="B78" t="str">
            <v>126667806</v>
          </cell>
          <cell r="C78" t="str">
            <v>W. J. MANGOLD MEMORIAL HOSP</v>
          </cell>
          <cell r="D78">
            <v>917310</v>
          </cell>
        </row>
        <row r="79">
          <cell r="A79" t="str">
            <v>450039</v>
          </cell>
          <cell r="B79" t="str">
            <v>126675104</v>
          </cell>
          <cell r="C79" t="str">
            <v>JPS HEALTH NETWORK</v>
          </cell>
          <cell r="D79">
            <v>257755375</v>
          </cell>
        </row>
        <row r="80">
          <cell r="A80" t="str">
            <v>450539</v>
          </cell>
          <cell r="B80" t="str">
            <v>127263503</v>
          </cell>
          <cell r="C80" t="str">
            <v>METHODIST HOSPITAL-PLAINVIEW</v>
          </cell>
          <cell r="D80">
            <v>1075120</v>
          </cell>
        </row>
        <row r="81">
          <cell r="A81" t="str">
            <v>450011</v>
          </cell>
          <cell r="B81" t="str">
            <v>127267603</v>
          </cell>
          <cell r="C81" t="str">
            <v>ST JOSEPH REGIONAL HEALTH CENTER</v>
          </cell>
          <cell r="D81">
            <v>22545280</v>
          </cell>
        </row>
        <row r="82">
          <cell r="A82" t="str">
            <v>450690</v>
          </cell>
          <cell r="B82" t="str">
            <v>127278304</v>
          </cell>
          <cell r="C82" t="str">
            <v>UT HEALTH CENTER-TYLER</v>
          </cell>
          <cell r="D82">
            <v>8564214</v>
          </cell>
        </row>
        <row r="83">
          <cell r="A83" t="str">
            <v>450015</v>
          </cell>
          <cell r="B83" t="str">
            <v>127295703</v>
          </cell>
          <cell r="C83" t="str">
            <v>DALLAS COUNTY HOSPITAL DISTRICT</v>
          </cell>
          <cell r="D83">
            <v>400228098</v>
          </cell>
        </row>
        <row r="84">
          <cell r="A84" t="str">
            <v>450144</v>
          </cell>
          <cell r="B84" t="str">
            <v>127298103</v>
          </cell>
          <cell r="C84" t="str">
            <v>PERMIAN REGIONAL MEDICAL CENTER</v>
          </cell>
          <cell r="D84">
            <v>1558654</v>
          </cell>
        </row>
        <row r="85">
          <cell r="A85" t="str">
            <v>450330</v>
          </cell>
          <cell r="B85" t="str">
            <v>127303903</v>
          </cell>
          <cell r="C85" t="str">
            <v>OAK BEND MED. CTR.</v>
          </cell>
          <cell r="D85">
            <v>11220268</v>
          </cell>
        </row>
        <row r="86">
          <cell r="A86" t="str">
            <v>450698</v>
          </cell>
          <cell r="B86" t="str">
            <v>127313803</v>
          </cell>
          <cell r="C86" t="str">
            <v>LAMB HEALTHCARE CENTER</v>
          </cell>
          <cell r="D86">
            <v>1713821</v>
          </cell>
        </row>
        <row r="87">
          <cell r="A87" t="str">
            <v>453306</v>
          </cell>
          <cell r="B87" t="str">
            <v>127319504</v>
          </cell>
          <cell r="C87" t="str">
            <v>COVENANT CHILDREN'S HOSPITAL</v>
          </cell>
          <cell r="D87">
            <v>3619390</v>
          </cell>
        </row>
        <row r="88">
          <cell r="A88" t="str">
            <v>450002</v>
          </cell>
          <cell r="B88" t="str">
            <v>130601104</v>
          </cell>
          <cell r="C88" t="str">
            <v>PROVIDENCE MEMORIAL HOSPITAL</v>
          </cell>
          <cell r="D88">
            <v>6429022</v>
          </cell>
        </row>
        <row r="89">
          <cell r="A89" t="str">
            <v>450194</v>
          </cell>
          <cell r="B89" t="str">
            <v>130612806</v>
          </cell>
          <cell r="C89" t="str">
            <v>EAST TEXAS MEDICAL CENTER-JACKSONVILLE</v>
          </cell>
          <cell r="D89">
            <v>2644178</v>
          </cell>
        </row>
        <row r="90">
          <cell r="A90" t="str">
            <v>450085</v>
          </cell>
          <cell r="B90" t="str">
            <v>130613604</v>
          </cell>
          <cell r="C90" t="str">
            <v>GRAHAM GENERAL HOSPITAL</v>
          </cell>
          <cell r="D90">
            <v>1055150</v>
          </cell>
        </row>
        <row r="91">
          <cell r="A91" t="str">
            <v>450178</v>
          </cell>
          <cell r="B91" t="str">
            <v>130616905</v>
          </cell>
          <cell r="C91" t="str">
            <v>PECOS COUNTY MEMORIAL HOSP</v>
          </cell>
          <cell r="D91">
            <v>2597296</v>
          </cell>
        </row>
        <row r="92">
          <cell r="A92" t="str">
            <v>450399</v>
          </cell>
          <cell r="B92" t="str">
            <v>130618504</v>
          </cell>
          <cell r="C92" t="str">
            <v>BROWNFIELD REGIONAL MEDICAL CENTER</v>
          </cell>
          <cell r="D92">
            <v>1643816</v>
          </cell>
        </row>
        <row r="93">
          <cell r="A93" t="str">
            <v>451331</v>
          </cell>
          <cell r="B93" t="str">
            <v>130826407</v>
          </cell>
          <cell r="C93" t="str">
            <v>COON MEMORIAL HOSPITAL</v>
          </cell>
          <cell r="D93">
            <v>1053818</v>
          </cell>
        </row>
        <row r="94">
          <cell r="A94" t="str">
            <v>450188</v>
          </cell>
          <cell r="B94" t="str">
            <v>130862905</v>
          </cell>
          <cell r="C94" t="str">
            <v>EAST TEXAS MED CTR-CLARKSVILLE</v>
          </cell>
          <cell r="D94">
            <v>2738103</v>
          </cell>
        </row>
        <row r="95">
          <cell r="A95" t="str">
            <v>451372</v>
          </cell>
          <cell r="B95" t="str">
            <v>130877708</v>
          </cell>
          <cell r="C95" t="str">
            <v>MULESHOE AREA HOSPITAL</v>
          </cell>
          <cell r="D95">
            <v>552514</v>
          </cell>
        </row>
        <row r="96">
          <cell r="A96" t="str">
            <v>450465</v>
          </cell>
          <cell r="B96" t="str">
            <v>130959304</v>
          </cell>
          <cell r="C96" t="str">
            <v>MATAGORDA REGIONAL MEDICAL CENTER</v>
          </cell>
          <cell r="D96">
            <v>3531665</v>
          </cell>
        </row>
        <row r="97">
          <cell r="A97" t="str">
            <v>450508</v>
          </cell>
          <cell r="B97" t="str">
            <v>131030203</v>
          </cell>
          <cell r="C97" t="str">
            <v>MEMORIAL HOSPITAL-NACOGDOCHES</v>
          </cell>
          <cell r="D97">
            <v>10202369</v>
          </cell>
        </row>
        <row r="98">
          <cell r="A98" t="str">
            <v>451302</v>
          </cell>
          <cell r="B98" t="str">
            <v>131035105</v>
          </cell>
          <cell r="C98" t="str">
            <v>GOOD SHEPHERD M C - LINDEN</v>
          </cell>
          <cell r="D98">
            <v>397789</v>
          </cell>
        </row>
        <row r="99">
          <cell r="A99" t="str">
            <v>450236</v>
          </cell>
          <cell r="B99" t="str">
            <v>131037704</v>
          </cell>
          <cell r="C99" t="str">
            <v>HOPKINS COUNTY MEMORIAL HOSP</v>
          </cell>
          <cell r="D99">
            <v>2975180</v>
          </cell>
        </row>
        <row r="100">
          <cell r="A100" t="str">
            <v>450352</v>
          </cell>
          <cell r="B100" t="str">
            <v>131038504</v>
          </cell>
          <cell r="C100" t="str">
            <v>PRESBYTERIAN HOSPITAL OF GREENVILLE</v>
          </cell>
          <cell r="D100">
            <v>13695876</v>
          </cell>
        </row>
        <row r="101">
          <cell r="A101" t="str">
            <v>450446</v>
          </cell>
          <cell r="B101" t="str">
            <v>131040104</v>
          </cell>
          <cell r="C101" t="str">
            <v>RIVERSIDE GENERAL HOSPITAL</v>
          </cell>
          <cell r="D101">
            <v>3801049</v>
          </cell>
        </row>
        <row r="102">
          <cell r="A102" t="str">
            <v>450653</v>
          </cell>
          <cell r="B102" t="str">
            <v>131043506</v>
          </cell>
          <cell r="C102" t="str">
            <v>SCENIC MOUNTAIN MEDICAL CENTER</v>
          </cell>
          <cell r="D102">
            <v>2295123</v>
          </cell>
        </row>
        <row r="103">
          <cell r="A103" t="str">
            <v>453301</v>
          </cell>
          <cell r="B103" t="str">
            <v>132812205</v>
          </cell>
          <cell r="C103" t="str">
            <v>DRISCOLL CHILDREN'S HOSPITAL</v>
          </cell>
          <cell r="D103">
            <v>22923674</v>
          </cell>
        </row>
        <row r="104">
          <cell r="A104" t="str">
            <v>450055</v>
          </cell>
          <cell r="B104" t="str">
            <v>133244705</v>
          </cell>
          <cell r="C104" t="str">
            <v>ROLLING PLAINS MEMORIAL HOSPITAL</v>
          </cell>
          <cell r="D104">
            <v>3090096</v>
          </cell>
        </row>
        <row r="105">
          <cell r="A105" t="str">
            <v>450369</v>
          </cell>
          <cell r="B105" t="str">
            <v>133250406</v>
          </cell>
          <cell r="C105" t="str">
            <v>CHILDRESS REGIONAL MEDICAL</v>
          </cell>
          <cell r="D105">
            <v>1478489</v>
          </cell>
        </row>
        <row r="106">
          <cell r="A106" t="str">
            <v>450192</v>
          </cell>
          <cell r="B106" t="str">
            <v>133252005</v>
          </cell>
          <cell r="C106" t="str">
            <v>HILL REGIONAL HOSPITAL</v>
          </cell>
          <cell r="D106">
            <v>2622668</v>
          </cell>
        </row>
        <row r="107">
          <cell r="A107" t="str">
            <v>452033</v>
          </cell>
          <cell r="B107" t="str">
            <v>133257904</v>
          </cell>
          <cell r="C107" t="str">
            <v>T. C. I. D.</v>
          </cell>
          <cell r="D107">
            <v>13331075</v>
          </cell>
        </row>
        <row r="108">
          <cell r="A108" t="str">
            <v>454009</v>
          </cell>
          <cell r="B108" t="str">
            <v>133331202</v>
          </cell>
          <cell r="C108" t="str">
            <v>RUSK STATE HOSPITAL</v>
          </cell>
          <cell r="D108">
            <v>58284806</v>
          </cell>
        </row>
        <row r="109">
          <cell r="A109" t="str">
            <v>450289</v>
          </cell>
          <cell r="B109" t="str">
            <v>133355104</v>
          </cell>
          <cell r="C109" t="str">
            <v>HARRIS COUNTY HOSPITAL DISTRICT</v>
          </cell>
          <cell r="D109">
            <v>517210372</v>
          </cell>
        </row>
        <row r="110">
          <cell r="A110" t="str">
            <v>450348</v>
          </cell>
          <cell r="B110" t="str">
            <v>133367602</v>
          </cell>
          <cell r="C110" t="str">
            <v>FALLS COMMUNITY HOSPITAL</v>
          </cell>
          <cell r="D110">
            <v>1539666</v>
          </cell>
        </row>
        <row r="111">
          <cell r="A111" t="str">
            <v>450231</v>
          </cell>
          <cell r="B111" t="str">
            <v>133457505</v>
          </cell>
          <cell r="C111" t="str">
            <v>BAPTIST ST ANTHONY'S</v>
          </cell>
          <cell r="D111">
            <v>13563518</v>
          </cell>
        </row>
        <row r="112">
          <cell r="A112" t="str">
            <v>450155</v>
          </cell>
          <cell r="B112" t="str">
            <v>133544006</v>
          </cell>
          <cell r="C112" t="str">
            <v>HEREFORD REGIONAL MEDICAL CENTER</v>
          </cell>
          <cell r="D112">
            <v>1157673</v>
          </cell>
        </row>
        <row r="113">
          <cell r="A113" t="str">
            <v>450200</v>
          </cell>
          <cell r="B113" t="str">
            <v>133545705</v>
          </cell>
          <cell r="C113" t="str">
            <v>WADLEY REGIONAL MEDICAL CENTER</v>
          </cell>
          <cell r="D113">
            <v>14758940</v>
          </cell>
        </row>
        <row r="114">
          <cell r="A114" t="str">
            <v>450051</v>
          </cell>
          <cell r="B114" t="str">
            <v>135032405</v>
          </cell>
          <cell r="C114" t="str">
            <v>METHODIST DALLAS MEDICAL CENTER</v>
          </cell>
          <cell r="D114">
            <v>42346283</v>
          </cell>
        </row>
        <row r="115">
          <cell r="A115" t="str">
            <v>450370</v>
          </cell>
          <cell r="B115" t="str">
            <v>135033204</v>
          </cell>
          <cell r="C115" t="str">
            <v>COLUMBUS COMMUNITY HOSPITAL</v>
          </cell>
          <cell r="D115">
            <v>450168</v>
          </cell>
        </row>
        <row r="116">
          <cell r="A116" t="str">
            <v>450128</v>
          </cell>
          <cell r="B116" t="str">
            <v>135035706</v>
          </cell>
          <cell r="C116" t="str">
            <v>KNAPP MEDICAL CENTER</v>
          </cell>
          <cell r="D116">
            <v>42841661</v>
          </cell>
        </row>
        <row r="117">
          <cell r="A117" t="str">
            <v>450137</v>
          </cell>
          <cell r="B117" t="str">
            <v>135036506</v>
          </cell>
          <cell r="C117" t="str">
            <v>BAYLOR ALL SAINTS MEDICAL CENTER</v>
          </cell>
          <cell r="D117">
            <v>12583129</v>
          </cell>
        </row>
        <row r="118">
          <cell r="A118" t="str">
            <v>450108</v>
          </cell>
          <cell r="B118" t="str">
            <v>135151206</v>
          </cell>
          <cell r="C118" t="str">
            <v>CONNALLY MEMORIAL MEDICAL CENTER</v>
          </cell>
          <cell r="D118">
            <v>2270763</v>
          </cell>
        </row>
        <row r="119">
          <cell r="A119" t="str">
            <v>450187</v>
          </cell>
          <cell r="B119" t="str">
            <v>135226205</v>
          </cell>
          <cell r="C119" t="str">
            <v>TRINITY COMMUNITY MEDICAL CTR of BRENHAM</v>
          </cell>
          <cell r="D119">
            <v>1322124</v>
          </cell>
        </row>
        <row r="120">
          <cell r="A120" t="str">
            <v>450132</v>
          </cell>
          <cell r="B120" t="str">
            <v>135235306</v>
          </cell>
          <cell r="C120" t="str">
            <v>MEDICAL CENTER HOSPITAL</v>
          </cell>
          <cell r="D120">
            <v>33147614</v>
          </cell>
        </row>
        <row r="121">
          <cell r="A121" t="str">
            <v>450010</v>
          </cell>
          <cell r="B121" t="str">
            <v>135237906</v>
          </cell>
          <cell r="C121" t="str">
            <v>UNITED REGIONAL HEALTHCARE SYSTEM</v>
          </cell>
          <cell r="D121">
            <v>29111264</v>
          </cell>
        </row>
        <row r="122">
          <cell r="A122" t="str">
            <v>450213</v>
          </cell>
          <cell r="B122" t="str">
            <v>136141205</v>
          </cell>
          <cell r="C122" t="str">
            <v>BEXAR COUNTY HOSPITAL DISTRICT</v>
          </cell>
          <cell r="D122">
            <v>207622864</v>
          </cell>
        </row>
        <row r="123">
          <cell r="A123" t="str">
            <v>450133</v>
          </cell>
          <cell r="B123" t="str">
            <v>136143806</v>
          </cell>
          <cell r="C123" t="str">
            <v>MIDLAND MEMORIAL HOSPITAL</v>
          </cell>
          <cell r="D123">
            <v>22755558</v>
          </cell>
        </row>
        <row r="124">
          <cell r="A124" t="str">
            <v>451347</v>
          </cell>
          <cell r="B124" t="str">
            <v>136144610</v>
          </cell>
          <cell r="C124" t="str">
            <v>COLEMAN CO. MED. CTR.</v>
          </cell>
          <cell r="D124">
            <v>708174</v>
          </cell>
        </row>
        <row r="125">
          <cell r="A125" t="str">
            <v>451333</v>
          </cell>
          <cell r="B125">
            <v>136145310</v>
          </cell>
          <cell r="C125" t="str">
            <v>MARTIN COUNTY HOSPITAL DIST</v>
          </cell>
          <cell r="D125">
            <v>1897664</v>
          </cell>
        </row>
        <row r="126">
          <cell r="A126" t="str">
            <v>450073</v>
          </cell>
          <cell r="B126" t="str">
            <v>136330107</v>
          </cell>
          <cell r="C126" t="str">
            <v>D M COGDELL MEMORIAL HOSPITAL</v>
          </cell>
          <cell r="D126">
            <v>3728358</v>
          </cell>
        </row>
        <row r="127">
          <cell r="A127" t="str">
            <v>450654</v>
          </cell>
          <cell r="B127" t="str">
            <v>136332705</v>
          </cell>
          <cell r="C127" t="str">
            <v>STARR COUNTY MEMORIAL HOSP</v>
          </cell>
          <cell r="D127">
            <v>7061410</v>
          </cell>
        </row>
        <row r="128">
          <cell r="A128" t="str">
            <v>450033</v>
          </cell>
          <cell r="B128" t="str">
            <v>136361607</v>
          </cell>
          <cell r="C128" t="str">
            <v>VALLEY BAPTIST MEDICAL CENTER</v>
          </cell>
          <cell r="D128">
            <v>27152136</v>
          </cell>
        </row>
        <row r="129">
          <cell r="A129" t="str">
            <v>450163</v>
          </cell>
          <cell r="B129" t="str">
            <v>136436606</v>
          </cell>
          <cell r="C129" t="str">
            <v>CHRISTUS SPOHN HOSPITAL - KLEBERG</v>
          </cell>
          <cell r="D129">
            <v>5040506</v>
          </cell>
        </row>
        <row r="130">
          <cell r="A130" t="str">
            <v>450005</v>
          </cell>
          <cell r="B130" t="str">
            <v>136488705</v>
          </cell>
          <cell r="C130" t="str">
            <v>MEMORIAL HERMANN BAPTIST ORANGE HOSPITAL</v>
          </cell>
          <cell r="D130">
            <v>6477542</v>
          </cell>
        </row>
        <row r="131">
          <cell r="A131" t="str">
            <v>450697</v>
          </cell>
          <cell r="B131" t="str">
            <v>136491104</v>
          </cell>
          <cell r="C131" t="str">
            <v>SOUTHWEST GENERAL HOSPITAL</v>
          </cell>
          <cell r="D131">
            <v>6060647</v>
          </cell>
        </row>
        <row r="132">
          <cell r="A132" t="str">
            <v>450571</v>
          </cell>
          <cell r="B132" t="str">
            <v>137226005</v>
          </cell>
          <cell r="C132" t="str">
            <v>SHANNON MEDICAL CENTER</v>
          </cell>
          <cell r="D132">
            <v>18867230</v>
          </cell>
        </row>
        <row r="133">
          <cell r="A133" t="str">
            <v>451308</v>
          </cell>
          <cell r="B133" t="str">
            <v>137227806</v>
          </cell>
          <cell r="C133" t="str">
            <v>YOAKUM COUNTY HOSPITAL</v>
          </cell>
          <cell r="D133">
            <v>1376235</v>
          </cell>
        </row>
        <row r="134">
          <cell r="A134" t="str">
            <v>450209</v>
          </cell>
          <cell r="B134" t="str">
            <v>137245009</v>
          </cell>
          <cell r="C134" t="str">
            <v>NORTHWEST TEXAS HEATHCARE SYSTEM</v>
          </cell>
          <cell r="D134">
            <v>35259518</v>
          </cell>
        </row>
        <row r="135">
          <cell r="A135" t="str">
            <v>450054</v>
          </cell>
          <cell r="B135" t="str">
            <v>137249208</v>
          </cell>
          <cell r="C135" t="str">
            <v>SCOTT AND WHITE MEMORIAL HOSPITAL</v>
          </cell>
          <cell r="D135">
            <v>44594350</v>
          </cell>
        </row>
        <row r="136">
          <cell r="A136" t="str">
            <v>450124</v>
          </cell>
          <cell r="B136" t="str">
            <v>137265806</v>
          </cell>
          <cell r="C136" t="str">
            <v>UNIVERSITY MEDICAL CENTER at BRACKENRIDGE</v>
          </cell>
          <cell r="D136">
            <v>92989105</v>
          </cell>
        </row>
        <row r="137">
          <cell r="A137" t="str">
            <v>450296</v>
          </cell>
          <cell r="B137" t="str">
            <v>137279905</v>
          </cell>
          <cell r="C137" t="str">
            <v>CLEVELAND REGIONAL MEDICAL</v>
          </cell>
          <cell r="D137">
            <v>6547183</v>
          </cell>
        </row>
        <row r="138">
          <cell r="A138" t="str">
            <v>450580</v>
          </cell>
          <cell r="B138" t="str">
            <v>137319306</v>
          </cell>
          <cell r="C138" t="str">
            <v>EAST TEXAS MEDICAL CENTER-CROCKETT</v>
          </cell>
          <cell r="D138">
            <v>3197733</v>
          </cell>
        </row>
        <row r="139">
          <cell r="A139" t="str">
            <v>451300</v>
          </cell>
          <cell r="B139" t="str">
            <v>137343308</v>
          </cell>
          <cell r="C139" t="str">
            <v>PARMER COUNTY COMMUNITY HOSPITAL</v>
          </cell>
          <cell r="D139">
            <v>740945</v>
          </cell>
        </row>
        <row r="140">
          <cell r="A140" t="str">
            <v>450068</v>
          </cell>
          <cell r="B140" t="str">
            <v>137805107</v>
          </cell>
          <cell r="C140" t="str">
            <v>MEMORIAL HERMANN HOSPITAL - TMC</v>
          </cell>
          <cell r="D140">
            <v>119807625</v>
          </cell>
        </row>
        <row r="141">
          <cell r="A141" t="str">
            <v>451356</v>
          </cell>
          <cell r="B141" t="str">
            <v>137909111</v>
          </cell>
          <cell r="C141" t="str">
            <v>MEMORIAL MEDICAL CENTER-PORT LAVACA</v>
          </cell>
          <cell r="D141">
            <v>3041156</v>
          </cell>
        </row>
        <row r="142">
          <cell r="A142" t="str">
            <v>454000</v>
          </cell>
          <cell r="B142" t="str">
            <v>137918204</v>
          </cell>
          <cell r="C142" t="str">
            <v>BIG SPRING STATE HOSP</v>
          </cell>
          <cell r="D142">
            <v>35783156</v>
          </cell>
        </row>
        <row r="143">
          <cell r="A143" t="str">
            <v>454006</v>
          </cell>
          <cell r="B143" t="str">
            <v>137919003</v>
          </cell>
          <cell r="C143" t="str">
            <v>TERRELL STATE HOSPITAL</v>
          </cell>
          <cell r="D143">
            <v>60571153</v>
          </cell>
        </row>
        <row r="144">
          <cell r="A144" t="str">
            <v>450686</v>
          </cell>
          <cell r="B144" t="str">
            <v>137999206</v>
          </cell>
          <cell r="C144" t="str">
            <v>UNIVERSITY MEDICAL CENTER-LUBBOCK</v>
          </cell>
          <cell r="D144">
            <v>60073970</v>
          </cell>
        </row>
        <row r="145">
          <cell r="A145" t="str">
            <v>450034</v>
          </cell>
          <cell r="B145" t="str">
            <v>138296208</v>
          </cell>
          <cell r="C145" t="str">
            <v>CHRISTUS HOSPITAL</v>
          </cell>
          <cell r="D145">
            <v>47164211</v>
          </cell>
        </row>
        <row r="146">
          <cell r="A146" t="str">
            <v>450586</v>
          </cell>
          <cell r="B146" t="str">
            <v>138353107</v>
          </cell>
          <cell r="C146" t="str">
            <v>SEYMOUR HOSPITAL</v>
          </cell>
          <cell r="D146">
            <v>672742</v>
          </cell>
        </row>
        <row r="147">
          <cell r="A147" t="str">
            <v>450104</v>
          </cell>
          <cell r="B147" t="str">
            <v>138411709</v>
          </cell>
          <cell r="C147" t="str">
            <v>GUADALUPE VALLEY HOSPITAL</v>
          </cell>
          <cell r="D147">
            <v>8421729</v>
          </cell>
        </row>
        <row r="148">
          <cell r="A148" t="str">
            <v>450229</v>
          </cell>
          <cell r="B148" t="str">
            <v>138644310</v>
          </cell>
          <cell r="C148" t="str">
            <v>HENDRICK MEDICAL CENTER</v>
          </cell>
          <cell r="D148">
            <v>22320889</v>
          </cell>
        </row>
        <row r="149">
          <cell r="A149" t="str">
            <v>454011</v>
          </cell>
          <cell r="B149" t="str">
            <v>138706004</v>
          </cell>
          <cell r="C149" t="str">
            <v>SAN ANTONIO STATE HOSP</v>
          </cell>
          <cell r="D149">
            <v>54327108</v>
          </cell>
        </row>
        <row r="150">
          <cell r="A150" t="str">
            <v>451348</v>
          </cell>
          <cell r="B150" t="str">
            <v>138715115</v>
          </cell>
          <cell r="C150" t="str">
            <v>HEART OF TEXAS MEMORIAL HOSPITAL</v>
          </cell>
          <cell r="D150">
            <v>1053518</v>
          </cell>
        </row>
        <row r="151">
          <cell r="A151" t="str">
            <v>453302</v>
          </cell>
          <cell r="B151" t="str">
            <v>138910807</v>
          </cell>
          <cell r="C151" t="str">
            <v>CHILDREN'S MEDICAL CENTER-DALLAS</v>
          </cell>
          <cell r="D151">
            <v>60573943</v>
          </cell>
        </row>
        <row r="152">
          <cell r="A152" t="str">
            <v>450597</v>
          </cell>
          <cell r="B152" t="str">
            <v>138911609</v>
          </cell>
          <cell r="C152" t="str">
            <v>CUERO COMMUNITY HOSPITAL</v>
          </cell>
          <cell r="D152">
            <v>992915</v>
          </cell>
        </row>
        <row r="153">
          <cell r="A153" t="str">
            <v>450080</v>
          </cell>
          <cell r="B153" t="str">
            <v>138913209</v>
          </cell>
          <cell r="C153" t="str">
            <v>TITUS COUNTY MEMORIAL HOSPITAL</v>
          </cell>
          <cell r="D153">
            <v>3508825</v>
          </cell>
        </row>
        <row r="154">
          <cell r="A154" t="str">
            <v>450565</v>
          </cell>
          <cell r="B154" t="str">
            <v>138950412</v>
          </cell>
          <cell r="C154" t="str">
            <v>PALO PINTO GENERAL HOSPITAL</v>
          </cell>
          <cell r="D154">
            <v>2182634</v>
          </cell>
        </row>
        <row r="155">
          <cell r="A155" t="str">
            <v>450024</v>
          </cell>
          <cell r="B155" t="str">
            <v>138951211</v>
          </cell>
          <cell r="C155" t="str">
            <v>UNIVERSITY MEDICAL CENTER of EL PASO</v>
          </cell>
          <cell r="D155">
            <v>90149158</v>
          </cell>
        </row>
        <row r="156">
          <cell r="A156" t="str">
            <v>450101</v>
          </cell>
          <cell r="B156" t="str">
            <v>138962907</v>
          </cell>
          <cell r="C156" t="str">
            <v>HILLCREST BAPTIST MEDICAL CENTER</v>
          </cell>
          <cell r="D156">
            <v>21613131</v>
          </cell>
        </row>
        <row r="157">
          <cell r="A157" t="str">
            <v>453304</v>
          </cell>
          <cell r="B157" t="str">
            <v>139135109</v>
          </cell>
          <cell r="C157" t="str">
            <v>TEXAS CHILDREN'S HOSPITAL</v>
          </cell>
          <cell r="D157">
            <v>21707266</v>
          </cell>
        </row>
        <row r="158">
          <cell r="A158" t="str">
            <v>450389</v>
          </cell>
          <cell r="B158" t="str">
            <v>139173209</v>
          </cell>
          <cell r="C158" t="str">
            <v>EAST TEXAS MEDICAL CENTER-ATHENS</v>
          </cell>
          <cell r="D158">
            <v>10043486</v>
          </cell>
        </row>
        <row r="159">
          <cell r="A159" t="str">
            <v>450040</v>
          </cell>
          <cell r="B159" t="str">
            <v>139461107</v>
          </cell>
          <cell r="C159" t="str">
            <v>COVENANT HEALTH SYSTEM</v>
          </cell>
          <cell r="D159">
            <v>50015905</v>
          </cell>
        </row>
        <row r="160">
          <cell r="A160" t="str">
            <v>450021</v>
          </cell>
          <cell r="B160" t="str">
            <v>139485012</v>
          </cell>
          <cell r="C160" t="str">
            <v>BAYLOR UNIVERSITY MEDICAL CENTER</v>
          </cell>
          <cell r="D160">
            <v>85941904</v>
          </cell>
        </row>
        <row r="161">
          <cell r="A161" t="str">
            <v>451303</v>
          </cell>
          <cell r="B161" t="str">
            <v>140714001</v>
          </cell>
          <cell r="C161" t="str">
            <v>LIMESTONE MEDICAL CENTER</v>
          </cell>
          <cell r="D161">
            <v>1216791</v>
          </cell>
        </row>
        <row r="162">
          <cell r="A162" t="str">
            <v>451319</v>
          </cell>
          <cell r="B162" t="str">
            <v>141858401</v>
          </cell>
          <cell r="C162" t="str">
            <v>MOTHER FRANCES HOSP - JACKSONVILLE</v>
          </cell>
          <cell r="D162">
            <v>2211253</v>
          </cell>
        </row>
        <row r="163">
          <cell r="A163" t="str">
            <v>450795</v>
          </cell>
          <cell r="B163" t="str">
            <v>147714301</v>
          </cell>
          <cell r="C163" t="str">
            <v>ST. ANTHONY'S HOSPITAL</v>
          </cell>
          <cell r="D163">
            <v>1157682</v>
          </cell>
        </row>
        <row r="164">
          <cell r="A164" t="str">
            <v>450855</v>
          </cell>
          <cell r="B164" t="str">
            <v>154504801</v>
          </cell>
          <cell r="C164" t="str">
            <v>HARLINGEN MEDICAL CENTER</v>
          </cell>
          <cell r="D164">
            <v>5716041</v>
          </cell>
        </row>
        <row r="165">
          <cell r="A165" t="str">
            <v>450058</v>
          </cell>
          <cell r="B165" t="str">
            <v>159156201</v>
          </cell>
          <cell r="C165" t="str">
            <v>BAPTIST HEALTH SYSTEM</v>
          </cell>
          <cell r="D165">
            <v>38697018</v>
          </cell>
        </row>
        <row r="166">
          <cell r="A166" t="str">
            <v>450869</v>
          </cell>
          <cell r="B166" t="str">
            <v>160709501</v>
          </cell>
          <cell r="C166" t="str">
            <v>DOCTORS HOSPITAL AT RENAISSANCE</v>
          </cell>
          <cell r="D166">
            <v>426950</v>
          </cell>
        </row>
        <row r="167">
          <cell r="A167" t="e">
            <v>#N/A</v>
          </cell>
          <cell r="B167" t="str">
            <v>162033801</v>
          </cell>
          <cell r="C167" t="str">
            <v>LAREDO MEDICAL CENTER</v>
          </cell>
          <cell r="D167">
            <v>-1743710</v>
          </cell>
        </row>
        <row r="168">
          <cell r="A168" t="str">
            <v>450028</v>
          </cell>
          <cell r="B168" t="str">
            <v>165241401</v>
          </cell>
          <cell r="C168" t="str">
            <v>VALLEY BAPTIST MC - BROWNSVILLE</v>
          </cell>
          <cell r="D168">
            <v>17189526</v>
          </cell>
        </row>
        <row r="169">
          <cell r="A169" t="str">
            <v>670002</v>
          </cell>
          <cell r="B169" t="str">
            <v>174941801</v>
          </cell>
          <cell r="C169" t="str">
            <v>SOUTH HAMPTON COMMUNITY HOSPITAL</v>
          </cell>
          <cell r="D169">
            <v>5062324</v>
          </cell>
        </row>
        <row r="170">
          <cell r="A170" t="e">
            <v>#N/A</v>
          </cell>
          <cell r="B170" t="str">
            <v>175965601</v>
          </cell>
          <cell r="C170" t="str">
            <v>KINGWOOD PINES HOSPITAL</v>
          </cell>
          <cell r="D170">
            <v>-952998</v>
          </cell>
        </row>
        <row r="171">
          <cell r="A171" t="str">
            <v>670004</v>
          </cell>
          <cell r="B171" t="str">
            <v>176692501</v>
          </cell>
          <cell r="C171" t="str">
            <v>ST MARK'S MEDICAL CENTER</v>
          </cell>
          <cell r="D171">
            <v>1127295</v>
          </cell>
        </row>
        <row r="172">
          <cell r="A172" t="str">
            <v>450214</v>
          </cell>
          <cell r="B172" t="str">
            <v>178815001</v>
          </cell>
          <cell r="C172" t="str">
            <v>SIGNATURE GULF COAST HOSPITAL</v>
          </cell>
          <cell r="D172">
            <v>5376137</v>
          </cell>
        </row>
        <row r="173">
          <cell r="A173" t="str">
            <v>450099</v>
          </cell>
          <cell r="B173" t="str">
            <v>178848102</v>
          </cell>
          <cell r="C173" t="str">
            <v>PAMPA REGIONAL MEDICAL CENTER</v>
          </cell>
          <cell r="D173">
            <v>2172692</v>
          </cell>
        </row>
        <row r="174">
          <cell r="A174" t="str">
            <v>451304</v>
          </cell>
          <cell r="B174" t="str">
            <v>179272301</v>
          </cell>
          <cell r="C174" t="str">
            <v>SCHLEICHER COUNTY MEDICAL</v>
          </cell>
          <cell r="D174">
            <v>593227</v>
          </cell>
        </row>
        <row r="175">
          <cell r="A175" t="str">
            <v>450035</v>
          </cell>
          <cell r="B175" t="str">
            <v>181706601</v>
          </cell>
          <cell r="C175" t="str">
            <v>SJ MEDICAL CENTER LLC</v>
          </cell>
          <cell r="D175">
            <v>15445619</v>
          </cell>
        </row>
        <row r="176">
          <cell r="A176" t="e">
            <v>#N/A</v>
          </cell>
          <cell r="B176" t="str">
            <v>184076101</v>
          </cell>
          <cell r="C176" t="str">
            <v>HICKORY TRAIL HOSPITAL</v>
          </cell>
          <cell r="D176">
            <v>-343851</v>
          </cell>
        </row>
        <row r="177">
          <cell r="A177" t="str">
            <v>453310</v>
          </cell>
          <cell r="B177" t="str">
            <v>186599001</v>
          </cell>
          <cell r="C177" t="str">
            <v>DELL CHILDRENS MEDICAL CENTER</v>
          </cell>
          <cell r="D177">
            <v>3641033</v>
          </cell>
        </row>
        <row r="178">
          <cell r="A178" t="str">
            <v>450347</v>
          </cell>
          <cell r="B178" t="str">
            <v>189791001</v>
          </cell>
          <cell r="C178" t="str">
            <v>HUNTSVILLE MEMORIAL HOSPITAL</v>
          </cell>
          <cell r="D178">
            <v>2269803</v>
          </cell>
        </row>
        <row r="179">
          <cell r="A179" t="str">
            <v>450489</v>
          </cell>
          <cell r="B179" t="str">
            <v>189947801</v>
          </cell>
          <cell r="C179" t="str">
            <v>MEDICAL ARTS HOSPITAL</v>
          </cell>
          <cell r="D179">
            <v>1667411</v>
          </cell>
        </row>
        <row r="180">
          <cell r="A180" t="str">
            <v>450324</v>
          </cell>
          <cell r="B180" t="str">
            <v>194997601</v>
          </cell>
          <cell r="C180" t="str">
            <v>TEXOMA MEDICAL CENTER INC</v>
          </cell>
          <cell r="D180">
            <v>11496553</v>
          </cell>
        </row>
        <row r="181">
          <cell r="A181" t="str">
            <v>451369</v>
          </cell>
          <cell r="B181" t="str">
            <v>197063401</v>
          </cell>
          <cell r="C181" t="str">
            <v>GOLDEN PLAINS COMMUNITY HOSPITAL</v>
          </cell>
          <cell r="D181">
            <v>2164781</v>
          </cell>
        </row>
        <row r="182">
          <cell r="A182" t="str">
            <v>450747</v>
          </cell>
          <cell r="B182">
            <v>121816602</v>
          </cell>
          <cell r="C182" t="str">
            <v>PALESTINE REGIONAL MEDICAL</v>
          </cell>
          <cell r="D182">
            <v>5053357</v>
          </cell>
        </row>
        <row r="183">
          <cell r="A183" t="str">
            <v>450042</v>
          </cell>
          <cell r="B183" t="str">
            <v>121831504</v>
          </cell>
          <cell r="C183" t="str">
            <v>DEPAUL CENTER</v>
          </cell>
          <cell r="D183">
            <v>1457932</v>
          </cell>
        </row>
        <row r="184">
          <cell r="A184" t="str">
            <v>451330</v>
          </cell>
          <cell r="B184" t="str">
            <v>133260309</v>
          </cell>
          <cell r="C184" t="str">
            <v>MEDINA COMMUNITY HOSPITAL</v>
          </cell>
          <cell r="D184">
            <v>2163670</v>
          </cell>
        </row>
        <row r="185">
          <cell r="A185" t="str">
            <v>450755</v>
          </cell>
          <cell r="B185" t="str">
            <v>133258705</v>
          </cell>
          <cell r="C185" t="str">
            <v>METHODIST HOSPITAL-LEVELLAND</v>
          </cell>
          <cell r="D185">
            <v>2447655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Non-urban Public Hospital</v>
          </cell>
        </row>
        <row r="3">
          <cell r="B3" t="str">
            <v>Rural Private Hospital</v>
          </cell>
        </row>
        <row r="4">
          <cell r="B4" t="str">
            <v>Rural Public Hospital</v>
          </cell>
        </row>
        <row r="5">
          <cell r="B5" t="str">
            <v>State-owned Hospital</v>
          </cell>
        </row>
        <row r="6">
          <cell r="B6" t="str">
            <v>Urban Public Hospital</v>
          </cell>
        </row>
        <row r="7">
          <cell r="B7" t="str">
            <v>Children's Hospital</v>
          </cell>
        </row>
        <row r="8">
          <cell r="B8" t="str">
            <v>Institution for Mental Disease</v>
          </cell>
        </row>
        <row r="9">
          <cell r="B9" t="str">
            <v>Other</v>
          </cell>
        </row>
      </sheetData>
      <sheetData sheetId="6" refreshError="1"/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ttestation"/>
      <sheetName val="Overview &amp; Instructions"/>
      <sheetName val="Data Dictionary"/>
      <sheetName val="Required State Input"/>
      <sheetName val="IP Cost"/>
      <sheetName val="IP Payment"/>
      <sheetName val="IP DRG"/>
      <sheetName val="IP Per Diem"/>
      <sheetName val="UPL Demonstration Summary"/>
      <sheetName val="_Controls"/>
      <sheetName val="LKUP"/>
      <sheetName val="Optional_Sheet_1"/>
      <sheetName val="Optional_Sheet_2"/>
      <sheetName val="Optional_Sheet_3"/>
      <sheetName val="Optional_Sheet_4"/>
      <sheetName val="Optional_Sheet_5"/>
      <sheetName val="Optional_Sheet_6"/>
      <sheetName val="Optional_Sheet_7"/>
      <sheetName val="Optional_Sheet_8"/>
      <sheetName val="Optional_Sheet_9"/>
      <sheetName val="Optional_Sheet_10"/>
      <sheetName val="Optional_Sheet_11"/>
      <sheetName val="Optional_Sheet_12"/>
      <sheetName val="Optional_Sheet_13"/>
      <sheetName val="Optional_Sheet_14"/>
      <sheetName val="Optional_Sheet_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>
            <v>421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>
        <row r="14">
          <cell r="A14" t="str">
            <v>IP Hospital</v>
          </cell>
          <cell r="C14">
            <v>0.05</v>
          </cell>
          <cell r="D14">
            <v>1.1766058325577948</v>
          </cell>
        </row>
        <row r="15">
          <cell r="A15" t="str">
            <v>OP Hospital</v>
          </cell>
          <cell r="C15">
            <v>0.05</v>
          </cell>
          <cell r="D15">
            <v>1.1766058325577948</v>
          </cell>
        </row>
        <row r="16">
          <cell r="A16" t="str">
            <v>Physician</v>
          </cell>
          <cell r="C16">
            <v>0.05</v>
          </cell>
          <cell r="D16">
            <v>1.1766058325577948</v>
          </cell>
        </row>
        <row r="17">
          <cell r="A17" t="str">
            <v>LTC</v>
          </cell>
          <cell r="C17">
            <v>0.05</v>
          </cell>
          <cell r="D17">
            <v>1.1766058325577948</v>
          </cell>
        </row>
        <row r="18">
          <cell r="A18" t="str">
            <v>Physician Supplier</v>
          </cell>
          <cell r="C18">
            <v>0.05</v>
          </cell>
          <cell r="D18">
            <v>1.1766058325577948</v>
          </cell>
        </row>
        <row r="19">
          <cell r="A19" t="str">
            <v>Dental</v>
          </cell>
          <cell r="C19">
            <v>0.05</v>
          </cell>
          <cell r="D19">
            <v>1.1766058325577948</v>
          </cell>
        </row>
        <row r="25">
          <cell r="L25">
            <v>0.2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s"/>
      <sheetName val="assumptions"/>
      <sheetName val="Bexar"/>
      <sheetName val="Dallas"/>
      <sheetName val="El Paso"/>
      <sheetName val="Harris"/>
      <sheetName val="Hidalgo"/>
      <sheetName val="Jefferson"/>
      <sheetName val="Lubbock"/>
      <sheetName val="MRSA Central"/>
      <sheetName val="MRSA Northeast"/>
      <sheetName val="MRSA West"/>
      <sheetName val="Nueces"/>
      <sheetName val="Tarrant"/>
      <sheetName val="Travis"/>
    </sheetNames>
    <sheetDataSet>
      <sheetData sheetId="0">
        <row r="7">
          <cell r="B7">
            <v>8.2900000000000001E-2</v>
          </cell>
        </row>
      </sheetData>
      <sheetData sheetId="1">
        <row r="7">
          <cell r="B7">
            <v>8.2900000000000001E-2</v>
          </cell>
        </row>
        <row r="8">
          <cell r="B8">
            <v>8.5400000000000004E-2</v>
          </cell>
        </row>
      </sheetData>
      <sheetData sheetId="2">
        <row r="5">
          <cell r="A5" t="str">
            <v>Childrens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Childrens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7 Medicaid Claims Data"/>
      <sheetName val="CPart I B Part I A-8-2"/>
      <sheetName val="Sched 3 HSL DSH Report"/>
      <sheetName val="UC Report"/>
      <sheetName val="Hospital Data Report"/>
      <sheetName val="Historical Medicaid &amp; Uninsured"/>
      <sheetName val="PrePop"/>
      <sheetName val="Data All Providers 2017"/>
      <sheetName val="HCRIS data"/>
      <sheetName val="MasterContactListDY5"/>
      <sheetName val="2017 Hospital Contacts"/>
      <sheetName val="Trauma"/>
      <sheetName val="B Part I Col 24"/>
      <sheetName val="C Part I 4"/>
      <sheetName val="C Part I 6"/>
      <sheetName val="C Part I 7"/>
      <sheetName val="WS S-3 PartI 28"/>
      <sheetName val="C Part I 8"/>
      <sheetName val="C Part I 9"/>
      <sheetName val="DY 6 Census Swing"/>
      <sheetName val="GME Payments2015"/>
      <sheetName val="Master TPI 2016"/>
      <sheetName val="Organ Acquisition"/>
      <sheetName val="Days Summary"/>
      <sheetName val="HSL"/>
      <sheetName val="Shortfalls"/>
      <sheetName val="MCO Day Adjustment (subtract)"/>
      <sheetName val="FFS Day Adjustment (subtract)"/>
      <sheetName val="FFS PPE Adjustment (add)"/>
      <sheetName val=" MCO PPE Adjustment (add)"/>
      <sheetName val="OP FFS Rural Adj (add)"/>
      <sheetName val="OP MCO Rural Adjustment (add)"/>
      <sheetName val="SDA Adjustment Percentages"/>
      <sheetName val="Positive Days Adjustment"/>
      <sheetName val=" Cost Report Settl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ttestation"/>
      <sheetName val="Overview &amp; Instructions"/>
      <sheetName val="Data Dictionary"/>
      <sheetName val="Required State Input"/>
      <sheetName val="IMD"/>
      <sheetName val="UPL Demonstration Summary"/>
      <sheetName val="_Controls"/>
      <sheetName val="LKUP"/>
      <sheetName val="Optional_Sheet_1"/>
      <sheetName val="Optional_Sheet_2"/>
      <sheetName val="Optional_Sheet_3"/>
      <sheetName val="Optional_Sheet_4"/>
      <sheetName val="Optional_Sheet_5"/>
      <sheetName val="Optional_Sheet_6"/>
      <sheetName val="Optional_Sheet_7"/>
      <sheetName val="Optional_Sheet_8"/>
      <sheetName val="Optional_Sheet_9"/>
      <sheetName val="Optional_Sheet_10"/>
      <sheetName val="Optional_Sheet_11"/>
      <sheetName val="Optional_Sheet_12"/>
      <sheetName val="Optional_Sheet_13"/>
      <sheetName val="Optional_Sheet_14"/>
      <sheetName val="Optional_Sheet_15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43</v>
          </cell>
        </row>
        <row r="4">
          <cell r="C4">
            <v>43</v>
          </cell>
        </row>
        <row r="23">
          <cell r="C23" t="b">
            <v>0</v>
          </cell>
        </row>
      </sheetData>
      <sheetData sheetId="7">
        <row r="7">
          <cell r="B7" t="str">
            <v>AL</v>
          </cell>
          <cell r="D7" t="str">
            <v>IMD</v>
          </cell>
          <cell r="F7" t="str">
            <v>Cost</v>
          </cell>
          <cell r="H7" t="str">
            <v>Private</v>
          </cell>
          <cell r="J7" t="str">
            <v>Retrospective</v>
          </cell>
        </row>
        <row r="8">
          <cell r="B8" t="str">
            <v>AK</v>
          </cell>
          <cell r="F8" t="str">
            <v>Charge</v>
          </cell>
          <cell r="H8" t="str">
            <v>NSGO</v>
          </cell>
          <cell r="J8" t="str">
            <v>Prospective</v>
          </cell>
          <cell r="O8">
            <v>2</v>
          </cell>
        </row>
        <row r="9">
          <cell r="B9" t="str">
            <v>AZ</v>
          </cell>
          <cell r="F9" t="str">
            <v>Payment</v>
          </cell>
          <cell r="H9" t="str">
            <v>SGO</v>
          </cell>
          <cell r="O9">
            <v>2</v>
          </cell>
        </row>
        <row r="10">
          <cell r="B10" t="str">
            <v>AR</v>
          </cell>
          <cell r="O10">
            <v>2</v>
          </cell>
        </row>
        <row r="11">
          <cell r="B11" t="str">
            <v>CA</v>
          </cell>
          <cell r="O11">
            <v>5</v>
          </cell>
        </row>
        <row r="12">
          <cell r="B12" t="str">
            <v>CO</v>
          </cell>
        </row>
        <row r="13">
          <cell r="B13" t="str">
            <v>CT</v>
          </cell>
        </row>
        <row r="14">
          <cell r="B14" t="str">
            <v>DE</v>
          </cell>
        </row>
        <row r="15">
          <cell r="B15" t="str">
            <v>DC</v>
          </cell>
        </row>
        <row r="16">
          <cell r="B16" t="str">
            <v>FL</v>
          </cell>
        </row>
        <row r="17">
          <cell r="B17" t="str">
            <v>GA</v>
          </cell>
        </row>
        <row r="18">
          <cell r="B18" t="str">
            <v>GU</v>
          </cell>
        </row>
        <row r="19">
          <cell r="B19" t="str">
            <v>HI</v>
          </cell>
        </row>
        <row r="20">
          <cell r="B20" t="str">
            <v>ID</v>
          </cell>
        </row>
        <row r="21">
          <cell r="B21" t="str">
            <v>IL</v>
          </cell>
        </row>
        <row r="22">
          <cell r="B22" t="str">
            <v>IN</v>
          </cell>
        </row>
        <row r="23">
          <cell r="B23" t="str">
            <v>IA</v>
          </cell>
        </row>
        <row r="24">
          <cell r="B24" t="str">
            <v>KS</v>
          </cell>
        </row>
        <row r="25">
          <cell r="B25" t="str">
            <v>KY</v>
          </cell>
        </row>
        <row r="26">
          <cell r="B26" t="str">
            <v>LA</v>
          </cell>
        </row>
        <row r="27">
          <cell r="B27" t="str">
            <v>ME</v>
          </cell>
        </row>
        <row r="28">
          <cell r="B28" t="str">
            <v>MD</v>
          </cell>
        </row>
        <row r="29">
          <cell r="B29" t="str">
            <v>MA</v>
          </cell>
        </row>
        <row r="30">
          <cell r="B30" t="str">
            <v>MI</v>
          </cell>
        </row>
        <row r="31">
          <cell r="B31" t="str">
            <v>MN</v>
          </cell>
        </row>
        <row r="32">
          <cell r="B32" t="str">
            <v>MS</v>
          </cell>
        </row>
        <row r="33">
          <cell r="B33" t="str">
            <v>MO</v>
          </cell>
        </row>
        <row r="34">
          <cell r="B34" t="str">
            <v>MT</v>
          </cell>
        </row>
        <row r="35">
          <cell r="B35" t="str">
            <v>NE</v>
          </cell>
        </row>
        <row r="36">
          <cell r="B36" t="str">
            <v>NV</v>
          </cell>
        </row>
        <row r="37">
          <cell r="B37" t="str">
            <v>NH</v>
          </cell>
        </row>
        <row r="38">
          <cell r="B38" t="str">
            <v>NJ</v>
          </cell>
        </row>
        <row r="39">
          <cell r="B39" t="str">
            <v>NM</v>
          </cell>
        </row>
        <row r="40">
          <cell r="B40" t="str">
            <v>NY</v>
          </cell>
        </row>
        <row r="41">
          <cell r="B41" t="str">
            <v>NC</v>
          </cell>
        </row>
        <row r="42">
          <cell r="B42" t="str">
            <v>ND</v>
          </cell>
        </row>
        <row r="43">
          <cell r="B43" t="str">
            <v>OH</v>
          </cell>
        </row>
        <row r="44">
          <cell r="B44" t="str">
            <v>OK</v>
          </cell>
        </row>
        <row r="45">
          <cell r="B45" t="str">
            <v>OR</v>
          </cell>
        </row>
        <row r="46">
          <cell r="B46" t="str">
            <v>PA</v>
          </cell>
        </row>
        <row r="47">
          <cell r="B47" t="str">
            <v>PR</v>
          </cell>
        </row>
        <row r="48">
          <cell r="B48" t="str">
            <v>RI</v>
          </cell>
        </row>
        <row r="49">
          <cell r="B49" t="str">
            <v>SC</v>
          </cell>
        </row>
        <row r="50">
          <cell r="B50" t="str">
            <v>SD</v>
          </cell>
        </row>
        <row r="51">
          <cell r="B51" t="str">
            <v>TN</v>
          </cell>
        </row>
        <row r="52">
          <cell r="B52" t="str">
            <v>TX</v>
          </cell>
        </row>
        <row r="53">
          <cell r="B53" t="str">
            <v>UT</v>
          </cell>
        </row>
        <row r="54">
          <cell r="B54" t="str">
            <v>VT</v>
          </cell>
        </row>
        <row r="55">
          <cell r="B55" t="str">
            <v>VA</v>
          </cell>
        </row>
        <row r="56">
          <cell r="B56" t="str">
            <v>VI</v>
          </cell>
        </row>
        <row r="57">
          <cell r="B57" t="str">
            <v>WA</v>
          </cell>
        </row>
        <row r="58">
          <cell r="B58" t="str">
            <v>WV</v>
          </cell>
        </row>
        <row r="59">
          <cell r="B59" t="str">
            <v>WI</v>
          </cell>
        </row>
        <row r="60">
          <cell r="B60" t="str">
            <v>WY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IP Wind-Down Revised Dec 2020"/>
      <sheetName val="Base Payment Calculation"/>
      <sheetName val="Original NAIP Wind-down"/>
      <sheetName val="NAIP 2017-2021"/>
    </sheetNames>
    <sheetDataSet>
      <sheetData sheetId="0"/>
      <sheetData sheetId="1">
        <row r="7">
          <cell r="P7">
            <v>1520552135.786649</v>
          </cell>
        </row>
        <row r="16">
          <cell r="P16">
            <v>4734086895.4000139</v>
          </cell>
        </row>
        <row r="25">
          <cell r="P25">
            <v>3430977126.2057171</v>
          </cell>
        </row>
        <row r="34">
          <cell r="P34">
            <v>3171920893.3746977</v>
          </cell>
        </row>
        <row r="44">
          <cell r="B44">
            <v>2687442766.1293721</v>
          </cell>
          <cell r="E44">
            <v>1904580090.8742027</v>
          </cell>
          <cell r="H44">
            <v>1316654773.5457983</v>
          </cell>
        </row>
      </sheetData>
      <sheetData sheetId="2"/>
      <sheetData sheetId="3">
        <row r="1">
          <cell r="A1" t="str">
            <v>TPI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>
        <row r="19">
          <cell r="M19">
            <v>154840451.74021089</v>
          </cell>
        </row>
      </sheetData>
      <sheetData sheetId="1"/>
      <sheetData sheetId="2"/>
      <sheetData sheetId="3"/>
      <sheetData sheetId="4">
        <row r="19">
          <cell r="M19">
            <v>154840451.74021089</v>
          </cell>
        </row>
      </sheetData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Hospital Data"/>
      <sheetName val="Hospital Data 2"/>
      <sheetName val="Medicare Cost Report"/>
      <sheetName val="Sched 3-Charity Costs"/>
      <sheetName val="Sched 3-CostReptCharity"/>
      <sheetName val="Sched 4-DSH State Pmt Cap"/>
      <sheetName val="Sched 4 Cost Rept Cost Calc"/>
      <sheetName val="Sched 4 Cost Rept UninsuredCost"/>
      <sheetName val="404 Report Medicaid Claims Data"/>
      <sheetName val="Medicaid Claims Data"/>
      <sheetName val="C Part I B Part I G-2"/>
      <sheetName val="S-3 Part I D-1 D-4"/>
      <sheetName val="Prepop"/>
      <sheetName val="Master TPI"/>
      <sheetName val="Master Contact List"/>
      <sheetName val="Data All Providers"/>
      <sheetName val="B Part I Col 24"/>
      <sheetName val="C Part I Col 4"/>
      <sheetName val="C Part I Col 6"/>
      <sheetName val="C Part I Col 7"/>
      <sheetName val="C Part I Col 8"/>
      <sheetName val="D-1 Col 1 Ln 26"/>
      <sheetName val="D-4 Col 1&amp;2 Ln61 66 62"/>
      <sheetName val="S-3 Part I Col 8"/>
      <sheetName val="WS_S10"/>
      <sheetName val="G-2 Col 1&amp;3 Ln28"/>
      <sheetName val="GME Payments"/>
      <sheetName val="MCO Day Adjustment (subtract)"/>
      <sheetName val="FFS Day Adjustment (subtract)"/>
      <sheetName val="FFS PPE Adjustment (add)"/>
      <sheetName val="MCO PPE Adjustment (add)"/>
      <sheetName val="FFS IP Xover Day Adj (subtract)"/>
      <sheetName val="MCO IP Xover Day Adj (subtract)"/>
      <sheetName val="UHRIP Adj"/>
      <sheetName val="Cost Report Settlements"/>
      <sheetName val="FFS Rural Pymts SDA Adj"/>
      <sheetName val="MCORural SDA Adjustments"/>
    </sheetNames>
    <sheetDataSet>
      <sheetData sheetId="0">
        <row r="5">
          <cell r="C5" t="str">
            <v>Waiting for a TPI</v>
          </cell>
        </row>
        <row r="9">
          <cell r="C9" t="str">
            <v>Waiting for a TPI</v>
          </cell>
        </row>
        <row r="11">
          <cell r="C11" t="str">
            <v>Waiting for a TPI</v>
          </cell>
        </row>
        <row r="13">
          <cell r="C13"/>
        </row>
        <row r="15">
          <cell r="E15" t="str">
            <v>Waiting for a TPI</v>
          </cell>
        </row>
        <row r="32">
          <cell r="E32" t="str">
            <v>Waiting for a TPI</v>
          </cell>
        </row>
        <row r="34">
          <cell r="E34" t="str">
            <v>Waiting for a TPI</v>
          </cell>
        </row>
        <row r="36">
          <cell r="C36">
            <v>10</v>
          </cell>
          <cell r="E36" t="str">
            <v>Waiting for a TPI</v>
          </cell>
        </row>
        <row r="38">
          <cell r="C38" t="str">
            <v>2021 (10/1/2020 - 9/30/2021)</v>
          </cell>
          <cell r="E38" t="str">
            <v>Waiting for a TPI</v>
          </cell>
        </row>
        <row r="42">
          <cell r="C42" t="str">
            <v>2019 (10/1/2018 - 9/30/2019)</v>
          </cell>
        </row>
      </sheetData>
      <sheetData sheetId="1"/>
      <sheetData sheetId="2"/>
      <sheetData sheetId="3"/>
      <sheetData sheetId="4"/>
      <sheetData sheetId="5">
        <row r="64">
          <cell r="I64"/>
        </row>
        <row r="85">
          <cell r="I85">
            <v>0</v>
          </cell>
        </row>
        <row r="105">
          <cell r="I105">
            <v>0</v>
          </cell>
        </row>
        <row r="125">
          <cell r="G125">
            <v>0</v>
          </cell>
        </row>
      </sheetData>
      <sheetData sheetId="6"/>
      <sheetData sheetId="7"/>
      <sheetData sheetId="8"/>
      <sheetData sheetId="9"/>
      <sheetData sheetId="10">
        <row r="24">
          <cell r="B24">
            <v>1.05747422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L3" t="str">
            <v>Non-DSH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J3" t="str">
            <v>DSH</v>
          </cell>
        </row>
        <row r="35">
          <cell r="F35" t="str">
            <v>NA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73BB-5426-4797-8BFD-D48B1398D4E2}">
  <sheetPr>
    <tabColor rgb="FF7030A0"/>
  </sheetPr>
  <dimension ref="A1:I572"/>
  <sheetViews>
    <sheetView tabSelected="1" workbookViewId="0">
      <selection activeCell="A17" sqref="A17:XFD17"/>
    </sheetView>
  </sheetViews>
  <sheetFormatPr defaultColWidth="8.796875" defaultRowHeight="15"/>
  <cols>
    <col min="1" max="1" width="20" style="9" customWidth="1"/>
    <col min="2" max="2" width="16.09765625" style="9" customWidth="1"/>
    <col min="3" max="3" width="14" style="9" customWidth="1"/>
    <col min="4" max="4" width="17.19921875" style="9" customWidth="1"/>
    <col min="5" max="5" width="16.3984375" style="9" customWidth="1"/>
    <col min="6" max="7" width="16.19921875" style="9" customWidth="1"/>
    <col min="8" max="8" width="16" style="9" customWidth="1"/>
    <col min="9" max="9" width="16.59765625" style="9" customWidth="1"/>
    <col min="10" max="10" width="16.296875" style="9" customWidth="1"/>
    <col min="11" max="16384" width="8.796875" style="9"/>
  </cols>
  <sheetData>
    <row r="1" spans="1:9" ht="19.5">
      <c r="A1" s="29" t="s">
        <v>2730</v>
      </c>
    </row>
    <row r="2" spans="1:9" ht="15.75" thickBot="1"/>
    <row r="3" spans="1:9">
      <c r="A3" s="58"/>
      <c r="B3" s="60">
        <f t="shared" ref="B3:H3" si="0">SUM(B5:B17)</f>
        <v>4922638752.2080078</v>
      </c>
      <c r="C3" s="60">
        <f t="shared" si="0"/>
        <v>303185466.93634671</v>
      </c>
      <c r="D3" s="60">
        <f t="shared" si="0"/>
        <v>5225824219.1443558</v>
      </c>
      <c r="E3" s="60">
        <f t="shared" si="0"/>
        <v>2231594167.9496522</v>
      </c>
      <c r="F3" s="60">
        <f t="shared" si="0"/>
        <v>1115797083.9748261</v>
      </c>
      <c r="G3" s="60">
        <f t="shared" si="0"/>
        <v>1115797083.9748261</v>
      </c>
      <c r="H3" s="60">
        <f t="shared" si="0"/>
        <v>1115797083.9748261</v>
      </c>
      <c r="I3" s="103"/>
    </row>
    <row r="4" spans="1:9" ht="75">
      <c r="A4" s="61" t="s">
        <v>3</v>
      </c>
      <c r="B4" s="62" t="s">
        <v>2711</v>
      </c>
      <c r="C4" s="62" t="s">
        <v>2712</v>
      </c>
      <c r="D4" s="62" t="s">
        <v>2397</v>
      </c>
      <c r="E4" s="62" t="s">
        <v>2713</v>
      </c>
      <c r="F4" s="62" t="s">
        <v>2714</v>
      </c>
      <c r="G4" s="62" t="s">
        <v>2715</v>
      </c>
      <c r="H4" s="62" t="s">
        <v>2750</v>
      </c>
      <c r="I4" s="63" t="s">
        <v>2748</v>
      </c>
    </row>
    <row r="5" spans="1:9">
      <c r="A5" s="24" t="s">
        <v>487</v>
      </c>
      <c r="B5" s="23">
        <f>SUMIF('CHIRP Payment Calc'!$G:$G,'IGT Commitment Suggestions'!$A5,'CHIRP Payment Calc'!AN:AN)</f>
        <v>393323689.42069602</v>
      </c>
      <c r="C5" s="23">
        <f>SUMIF('CHIRP Payment Calc'!$G:$G,'IGT Commitment Suggestions'!$A5,'CHIRP Payment Calc'!AO:AO)</f>
        <v>24223186.650389541</v>
      </c>
      <c r="D5" s="23">
        <f>SUMIF('CHIRP Payment Calc'!$G:$G,'IGT Commitment Suggestions'!$A5,'CHIRP Payment Calc'!AP:AP)</f>
        <v>417546876.07108557</v>
      </c>
      <c r="E5" s="23">
        <f>SUMIF('CHIRP Payment Calc'!$G:$G,'IGT Commitment Suggestions'!$A5,'CHIRP Payment Calc'!AQ:AQ)</f>
        <v>178305877.58238783</v>
      </c>
      <c r="F5" s="23">
        <f>SUMIF('CHIRP Payment Calc'!$G:$G,'IGT Commitment Suggestions'!$A5,'CHIRP Payment Calc'!AR:AR)</f>
        <v>89152938.791193917</v>
      </c>
      <c r="G5" s="23">
        <f>SUMIF('CHIRP Payment Calc'!$G:$G,'IGT Commitment Suggestions'!$A5,'CHIRP Payment Calc'!AS:AS)</f>
        <v>89152938.791193917</v>
      </c>
      <c r="H5" s="23">
        <f>F5</f>
        <v>89152938.791193917</v>
      </c>
      <c r="I5" s="66">
        <f>ROUND(IF(H5/F5&gt;1,1,H5/F5),2)</f>
        <v>1</v>
      </c>
    </row>
    <row r="6" spans="1:9">
      <c r="A6" s="24" t="s">
        <v>223</v>
      </c>
      <c r="B6" s="23">
        <f>SUMIF('CHIRP Payment Calc'!$G:$G,'IGT Commitment Suggestions'!$A6,'CHIRP Payment Calc'!AN:AN)</f>
        <v>800391377.05400825</v>
      </c>
      <c r="C6" s="23">
        <f>SUMIF('CHIRP Payment Calc'!$G:$G,'IGT Commitment Suggestions'!$A6,'CHIRP Payment Calc'!AO:AO)</f>
        <v>49325372.541487262</v>
      </c>
      <c r="D6" s="23">
        <f>SUMIF('CHIRP Payment Calc'!$G:$G,'IGT Commitment Suggestions'!$A6,'CHIRP Payment Calc'!AP:AP)</f>
        <v>849716749.59549546</v>
      </c>
      <c r="E6" s="23">
        <f>SUMIF('CHIRP Payment Calc'!$G:$G,'IGT Commitment Suggestions'!$A6,'CHIRP Payment Calc'!AQ:AQ)</f>
        <v>362856243.01326358</v>
      </c>
      <c r="F6" s="23">
        <f>SUMIF('CHIRP Payment Calc'!$G:$G,'IGT Commitment Suggestions'!$A6,'CHIRP Payment Calc'!AR:AR)</f>
        <v>181428121.50663179</v>
      </c>
      <c r="G6" s="23">
        <f>SUMIF('CHIRP Payment Calc'!$G:$G,'IGT Commitment Suggestions'!$A6,'CHIRP Payment Calc'!AS:AS)</f>
        <v>181428121.50663179</v>
      </c>
      <c r="H6" s="23">
        <f t="shared" ref="H6:H17" si="1">F6</f>
        <v>181428121.50663179</v>
      </c>
      <c r="I6" s="66">
        <f t="shared" ref="I6:I16" si="2">ROUND(IF(H6/F6&gt;1,1,H6/F6),2)</f>
        <v>1</v>
      </c>
    </row>
    <row r="7" spans="1:9">
      <c r="A7" s="24" t="s">
        <v>1189</v>
      </c>
      <c r="B7" s="23">
        <f>SUMIF('CHIRP Payment Calc'!$G:$G,'IGT Commitment Suggestions'!$A7,'CHIRP Payment Calc'!AN:AN)</f>
        <v>154649865.95772567</v>
      </c>
      <c r="C7" s="23">
        <f>SUMIF('CHIRP Payment Calc'!$G:$G,'IGT Commitment Suggestions'!$A7,'CHIRP Payment Calc'!AO:AO)</f>
        <v>9512996.147050852</v>
      </c>
      <c r="D7" s="23">
        <f>SUMIF('CHIRP Payment Calc'!$G:$G,'IGT Commitment Suggestions'!$A7,'CHIRP Payment Calc'!AP:AP)</f>
        <v>164162862.10477656</v>
      </c>
      <c r="E7" s="23">
        <f>SUMIF('CHIRP Payment Calc'!$G:$G,'IGT Commitment Suggestions'!$A7,'CHIRP Payment Calc'!AQ:AQ)</f>
        <v>70102795.33032693</v>
      </c>
      <c r="F7" s="23">
        <f>SUMIF('CHIRP Payment Calc'!$G:$G,'IGT Commitment Suggestions'!$A7,'CHIRP Payment Calc'!AR:AR)</f>
        <v>35051397.665163465</v>
      </c>
      <c r="G7" s="23">
        <f>SUMIF('CHIRP Payment Calc'!$G:$G,'IGT Commitment Suggestions'!$A7,'CHIRP Payment Calc'!AS:AS)</f>
        <v>35051397.665163465</v>
      </c>
      <c r="H7" s="23">
        <f t="shared" si="1"/>
        <v>35051397.665163465</v>
      </c>
      <c r="I7" s="66">
        <f t="shared" si="2"/>
        <v>1</v>
      </c>
    </row>
    <row r="8" spans="1:9">
      <c r="A8" s="24" t="s">
        <v>300</v>
      </c>
      <c r="B8" s="23">
        <f>SUMIF('CHIRP Payment Calc'!$G:$G,'IGT Commitment Suggestions'!$A8,'CHIRP Payment Calc'!AN:AN)</f>
        <v>1472155711.9851236</v>
      </c>
      <c r="C8" s="23">
        <f>SUMIF('CHIRP Payment Calc'!$G:$G,'IGT Commitment Suggestions'!$A8,'CHIRP Payment Calc'!AO:AO)</f>
        <v>90609568.855872124</v>
      </c>
      <c r="D8" s="23">
        <f>SUMIF('CHIRP Payment Calc'!$G:$G,'IGT Commitment Suggestions'!$A8,'CHIRP Payment Calc'!AP:AP)</f>
        <v>1562765280.8409963</v>
      </c>
      <c r="E8" s="23">
        <f>SUMIF('CHIRP Payment Calc'!$G:$G,'IGT Commitment Suggestions'!$A8,'CHIRP Payment Calc'!AQ:AQ)</f>
        <v>667350783.40809238</v>
      </c>
      <c r="F8" s="23">
        <f>SUMIF('CHIRP Payment Calc'!$G:$G,'IGT Commitment Suggestions'!$A8,'CHIRP Payment Calc'!AR:AR)</f>
        <v>333675391.70404619</v>
      </c>
      <c r="G8" s="23">
        <f>SUMIF('CHIRP Payment Calc'!$G:$G,'IGT Commitment Suggestions'!$A8,'CHIRP Payment Calc'!AS:AS)</f>
        <v>333675391.70404619</v>
      </c>
      <c r="H8" s="23">
        <f t="shared" si="1"/>
        <v>333675391.70404619</v>
      </c>
      <c r="I8" s="66">
        <f t="shared" si="2"/>
        <v>1</v>
      </c>
    </row>
    <row r="9" spans="1:9">
      <c r="A9" s="24" t="s">
        <v>1514</v>
      </c>
      <c r="B9" s="23">
        <f>SUMIF('CHIRP Payment Calc'!$G:$G,'IGT Commitment Suggestions'!$A9,'CHIRP Payment Calc'!AN:AN)</f>
        <v>331043253.94770777</v>
      </c>
      <c r="C9" s="23">
        <f>SUMIF('CHIRP Payment Calc'!$G:$G,'IGT Commitment Suggestions'!$A9,'CHIRP Payment Calc'!AO:AO)</f>
        <v>20363965.927904017</v>
      </c>
      <c r="D9" s="23">
        <f>SUMIF('CHIRP Payment Calc'!$G:$G,'IGT Commitment Suggestions'!$A9,'CHIRP Payment Calc'!AP:AP)</f>
        <v>351407219.87561172</v>
      </c>
      <c r="E9" s="23">
        <f>SUMIF('CHIRP Payment Calc'!$G:$G,'IGT Commitment Suggestions'!$A9,'CHIRP Payment Calc'!AQ:AQ)</f>
        <v>150062127.91792223</v>
      </c>
      <c r="F9" s="23">
        <f>SUMIF('CHIRP Payment Calc'!$G:$G,'IGT Commitment Suggestions'!$A9,'CHIRP Payment Calc'!AR:AR)</f>
        <v>75031063.958961114</v>
      </c>
      <c r="G9" s="23">
        <f>SUMIF('CHIRP Payment Calc'!$G:$G,'IGT Commitment Suggestions'!$A9,'CHIRP Payment Calc'!AS:AS)</f>
        <v>75031063.958961114</v>
      </c>
      <c r="H9" s="23">
        <f t="shared" si="1"/>
        <v>75031063.958961114</v>
      </c>
      <c r="I9" s="66">
        <f t="shared" si="2"/>
        <v>1</v>
      </c>
    </row>
    <row r="10" spans="1:9">
      <c r="A10" s="24" t="s">
        <v>1550</v>
      </c>
      <c r="B10" s="23">
        <f>SUMIF('CHIRP Payment Calc'!$G:$G,'IGT Commitment Suggestions'!$A10,'CHIRP Payment Calc'!AN:AN)</f>
        <v>78934106.199543551</v>
      </c>
      <c r="C10" s="23">
        <f>SUMIF('CHIRP Payment Calc'!$G:$G,'IGT Commitment Suggestions'!$A10,'CHIRP Payment Calc'!AO:AO)</f>
        <v>4884507.193691127</v>
      </c>
      <c r="D10" s="23">
        <f>SUMIF('CHIRP Payment Calc'!$G:$G,'IGT Commitment Suggestions'!$A10,'CHIRP Payment Calc'!AP:AP)</f>
        <v>83818613.39323467</v>
      </c>
      <c r="E10" s="23">
        <f>SUMIF('CHIRP Payment Calc'!$G:$G,'IGT Commitment Suggestions'!$A10,'CHIRP Payment Calc'!AQ:AQ)</f>
        <v>35793230.114539787</v>
      </c>
      <c r="F10" s="23">
        <f>SUMIF('CHIRP Payment Calc'!$G:$G,'IGT Commitment Suggestions'!$A10,'CHIRP Payment Calc'!AR:AR)</f>
        <v>17896615.057269894</v>
      </c>
      <c r="G10" s="23">
        <f>SUMIF('CHIRP Payment Calc'!$G:$G,'IGT Commitment Suggestions'!$A10,'CHIRP Payment Calc'!AS:AS)</f>
        <v>17896615.057269894</v>
      </c>
      <c r="H10" s="23">
        <f t="shared" si="1"/>
        <v>17896615.057269894</v>
      </c>
      <c r="I10" s="66">
        <f t="shared" si="2"/>
        <v>1</v>
      </c>
    </row>
    <row r="11" spans="1:9">
      <c r="A11" s="24" t="s">
        <v>1526</v>
      </c>
      <c r="B11" s="23">
        <f>SUMIF('CHIRP Payment Calc'!$G:$G,'IGT Commitment Suggestions'!$A11,'CHIRP Payment Calc'!AN:AN)</f>
        <v>94279613.29108499</v>
      </c>
      <c r="C11" s="23">
        <f>SUMIF('CHIRP Payment Calc'!$G:$G,'IGT Commitment Suggestions'!$A11,'CHIRP Payment Calc'!AO:AO)</f>
        <v>5811231.3377946131</v>
      </c>
      <c r="D11" s="23">
        <f>SUMIF('CHIRP Payment Calc'!$G:$G,'IGT Commitment Suggestions'!$A11,'CHIRP Payment Calc'!AP:AP)</f>
        <v>100090844.62887962</v>
      </c>
      <c r="E11" s="23">
        <f>SUMIF('CHIRP Payment Calc'!$G:$G,'IGT Commitment Suggestions'!$A11,'CHIRP Payment Calc'!AQ:AQ)</f>
        <v>42741993.563559718</v>
      </c>
      <c r="F11" s="23">
        <f>SUMIF('CHIRP Payment Calc'!$G:$G,'IGT Commitment Suggestions'!$A11,'CHIRP Payment Calc'!AR:AR)</f>
        <v>21370996.781779859</v>
      </c>
      <c r="G11" s="23">
        <f>SUMIF('CHIRP Payment Calc'!$G:$G,'IGT Commitment Suggestions'!$A11,'CHIRP Payment Calc'!AS:AS)</f>
        <v>21370996.781779859</v>
      </c>
      <c r="H11" s="23">
        <f t="shared" si="1"/>
        <v>21370996.781779859</v>
      </c>
      <c r="I11" s="66">
        <f t="shared" si="2"/>
        <v>1</v>
      </c>
    </row>
    <row r="12" spans="1:9">
      <c r="A12" s="24" t="s">
        <v>1486</v>
      </c>
      <c r="B12" s="23">
        <f>SUMIF('CHIRP Payment Calc'!$G:$G,'IGT Commitment Suggestions'!$A12,'CHIRP Payment Calc'!AN:AN)</f>
        <v>159285966.02548942</v>
      </c>
      <c r="C12" s="23">
        <f>SUMIF('CHIRP Payment Calc'!$G:$G,'IGT Commitment Suggestions'!$A12,'CHIRP Payment Calc'!AO:AO)</f>
        <v>9847607.5886515025</v>
      </c>
      <c r="D12" s="23">
        <f>SUMIF('CHIRP Payment Calc'!$G:$G,'IGT Commitment Suggestions'!$A12,'CHIRP Payment Calc'!AP:AP)</f>
        <v>169133573.61414096</v>
      </c>
      <c r="E12" s="23">
        <f>SUMIF('CHIRP Payment Calc'!$G:$G,'IGT Commitment Suggestions'!$A12,'CHIRP Payment Calc'!AQ:AQ)</f>
        <v>72225448.207593843</v>
      </c>
      <c r="F12" s="23">
        <f>SUMIF('CHIRP Payment Calc'!$G:$G,'IGT Commitment Suggestions'!$A12,'CHIRP Payment Calc'!AR:AR)</f>
        <v>36112724.103796922</v>
      </c>
      <c r="G12" s="23">
        <f>SUMIF('CHIRP Payment Calc'!$G:$G,'IGT Commitment Suggestions'!$A12,'CHIRP Payment Calc'!AS:AS)</f>
        <v>36112724.103796922</v>
      </c>
      <c r="H12" s="23">
        <f t="shared" si="1"/>
        <v>36112724.103796922</v>
      </c>
      <c r="I12" s="66">
        <f t="shared" si="2"/>
        <v>1</v>
      </c>
    </row>
    <row r="13" spans="1:9">
      <c r="A13" s="24" t="s">
        <v>310</v>
      </c>
      <c r="B13" s="23">
        <f>SUMIF('CHIRP Payment Calc'!$G:$G,'IGT Commitment Suggestions'!$A13,'CHIRP Payment Calc'!AN:AN)</f>
        <v>187690324.23594168</v>
      </c>
      <c r="C13" s="23">
        <f>SUMIF('CHIRP Payment Calc'!$G:$G,'IGT Commitment Suggestions'!$A13,'CHIRP Payment Calc'!AO:AO)</f>
        <v>11626005.62602542</v>
      </c>
      <c r="D13" s="23">
        <f>SUMIF('CHIRP Payment Calc'!$G:$G,'IGT Commitment Suggestions'!$A13,'CHIRP Payment Calc'!AP:AP)</f>
        <v>199316329.86196712</v>
      </c>
      <c r="E13" s="23">
        <f>SUMIF('CHIRP Payment Calc'!$G:$G,'IGT Commitment Suggestions'!$A13,'CHIRP Payment Calc'!AQ:AQ)</f>
        <v>85114450.973615512</v>
      </c>
      <c r="F13" s="23">
        <f>SUMIF('CHIRP Payment Calc'!$G:$G,'IGT Commitment Suggestions'!$A13,'CHIRP Payment Calc'!AR:AR)</f>
        <v>42557225.486807756</v>
      </c>
      <c r="G13" s="23">
        <f>SUMIF('CHIRP Payment Calc'!$G:$G,'IGT Commitment Suggestions'!$A13,'CHIRP Payment Calc'!AS:AS)</f>
        <v>42557225.486807756</v>
      </c>
      <c r="H13" s="23">
        <f t="shared" si="1"/>
        <v>42557225.486807756</v>
      </c>
      <c r="I13" s="66">
        <f t="shared" si="2"/>
        <v>1</v>
      </c>
    </row>
    <row r="14" spans="1:9">
      <c r="A14" s="24" t="s">
        <v>227</v>
      </c>
      <c r="B14" s="23">
        <f>SUMIF('CHIRP Payment Calc'!$G:$G,'IGT Commitment Suggestions'!$A14,'CHIRP Payment Calc'!AN:AN)</f>
        <v>121471535.3767412</v>
      </c>
      <c r="C14" s="23">
        <f>SUMIF('CHIRP Payment Calc'!$G:$G,'IGT Commitment Suggestions'!$A14,'CHIRP Payment Calc'!AO:AO)</f>
        <v>7500885.3694244651</v>
      </c>
      <c r="D14" s="23">
        <f>SUMIF('CHIRP Payment Calc'!$G:$G,'IGT Commitment Suggestions'!$A14,'CHIRP Payment Calc'!AP:AP)</f>
        <v>128972420.74616571</v>
      </c>
      <c r="E14" s="23">
        <f>SUMIF('CHIRP Payment Calc'!$G:$G,'IGT Commitment Suggestions'!$A14,'CHIRP Payment Calc'!AQ:AQ)</f>
        <v>55075350.776076607</v>
      </c>
      <c r="F14" s="23">
        <f>SUMIF('CHIRP Payment Calc'!$G:$G,'IGT Commitment Suggestions'!$A14,'CHIRP Payment Calc'!AR:AR)</f>
        <v>27537675.388038304</v>
      </c>
      <c r="G14" s="23">
        <f>SUMIF('CHIRP Payment Calc'!$G:$G,'IGT Commitment Suggestions'!$A14,'CHIRP Payment Calc'!AS:AS)</f>
        <v>27537675.388038304</v>
      </c>
      <c r="H14" s="23">
        <f t="shared" si="1"/>
        <v>27537675.388038304</v>
      </c>
      <c r="I14" s="66">
        <f t="shared" si="2"/>
        <v>1</v>
      </c>
    </row>
    <row r="15" spans="1:9">
      <c r="A15" s="24" t="s">
        <v>1548</v>
      </c>
      <c r="B15" s="23">
        <f>SUMIF('CHIRP Payment Calc'!$G:$G,'IGT Commitment Suggestions'!$A15,'CHIRP Payment Calc'!AN:AN)</f>
        <v>194858951.36334521</v>
      </c>
      <c r="C15" s="23">
        <f>SUMIF('CHIRP Payment Calc'!$G:$G,'IGT Commitment Suggestions'!$A15,'CHIRP Payment Calc'!AO:AO)</f>
        <v>11960912.873180551</v>
      </c>
      <c r="D15" s="23">
        <f>SUMIF('CHIRP Payment Calc'!$G:$G,'IGT Commitment Suggestions'!$A15,'CHIRP Payment Calc'!AP:AP)</f>
        <v>206819864.23652577</v>
      </c>
      <c r="E15" s="23">
        <f>SUMIF('CHIRP Payment Calc'!$G:$G,'IGT Commitment Suggestions'!$A15,'CHIRP Payment Calc'!AQ:AQ)</f>
        <v>88318700.264652044</v>
      </c>
      <c r="F15" s="23">
        <f>SUMIF('CHIRP Payment Calc'!$G:$G,'IGT Commitment Suggestions'!$A15,'CHIRP Payment Calc'!AR:AR)</f>
        <v>44159350.132326022</v>
      </c>
      <c r="G15" s="23">
        <f>SUMIF('CHIRP Payment Calc'!$G:$G,'IGT Commitment Suggestions'!$A15,'CHIRP Payment Calc'!AS:AS)</f>
        <v>44159350.132326022</v>
      </c>
      <c r="H15" s="23">
        <f t="shared" si="1"/>
        <v>44159350.132326022</v>
      </c>
      <c r="I15" s="66">
        <f t="shared" si="2"/>
        <v>1</v>
      </c>
    </row>
    <row r="16" spans="1:9">
      <c r="A16" s="24" t="s">
        <v>1365</v>
      </c>
      <c r="B16" s="23">
        <f>SUMIF('CHIRP Payment Calc'!$G:$G,'IGT Commitment Suggestions'!$A16,'CHIRP Payment Calc'!AN:AN)</f>
        <v>624655630.77227437</v>
      </c>
      <c r="C16" s="23">
        <f>SUMIF('CHIRP Payment Calc'!$G:$G,'IGT Commitment Suggestions'!$A16,'CHIRP Payment Calc'!AO:AO)</f>
        <v>38449036.823263809</v>
      </c>
      <c r="D16" s="23">
        <f>SUMIF('CHIRP Payment Calc'!$G:$G,'IGT Commitment Suggestions'!$A16,'CHIRP Payment Calc'!AP:AP)</f>
        <v>663104667.59553838</v>
      </c>
      <c r="E16" s="23">
        <f>SUMIF('CHIRP Payment Calc'!$G:$G,'IGT Commitment Suggestions'!$A16,'CHIRP Payment Calc'!AQ:AQ)</f>
        <v>283166912.41265792</v>
      </c>
      <c r="F16" s="23">
        <f>SUMIF('CHIRP Payment Calc'!$G:$G,'IGT Commitment Suggestions'!$A16,'CHIRP Payment Calc'!AR:AR)</f>
        <v>141583456.20632896</v>
      </c>
      <c r="G16" s="23">
        <f>SUMIF('CHIRP Payment Calc'!$G:$G,'IGT Commitment Suggestions'!$A16,'CHIRP Payment Calc'!AS:AS)</f>
        <v>141583456.20632896</v>
      </c>
      <c r="H16" s="23">
        <f t="shared" si="1"/>
        <v>141583456.20632896</v>
      </c>
      <c r="I16" s="66">
        <f t="shared" si="2"/>
        <v>1</v>
      </c>
    </row>
    <row r="17" spans="1:9" ht="15.75" thickBot="1">
      <c r="A17" s="25" t="s">
        <v>1202</v>
      </c>
      <c r="B17" s="26">
        <f>SUMIF('CHIRP Payment Calc'!$G:$G,'IGT Commitment Suggestions'!$A17,'CHIRP Payment Calc'!AN:AN)</f>
        <v>309898726.57832599</v>
      </c>
      <c r="C17" s="26">
        <f>SUMIF('CHIRP Payment Calc'!$G:$G,'IGT Commitment Suggestions'!$A17,'CHIRP Payment Calc'!AO:AO)</f>
        <v>19070190.001611449</v>
      </c>
      <c r="D17" s="26">
        <f>SUMIF('CHIRP Payment Calc'!$G:$G,'IGT Commitment Suggestions'!$A17,'CHIRP Payment Calc'!AP:AP)</f>
        <v>328968916.57993752</v>
      </c>
      <c r="E17" s="26">
        <f>SUMIF('CHIRP Payment Calc'!$G:$G,'IGT Commitment Suggestions'!$A17,'CHIRP Payment Calc'!AQ:AQ)</f>
        <v>140480254.38496387</v>
      </c>
      <c r="F17" s="26">
        <f>SUMIF('CHIRP Payment Calc'!$G:$G,'IGT Commitment Suggestions'!$A17,'CHIRP Payment Calc'!AR:AR)</f>
        <v>70240127.192481935</v>
      </c>
      <c r="G17" s="26">
        <f>SUMIF('CHIRP Payment Calc'!$G:$G,'IGT Commitment Suggestions'!$A17,'CHIRP Payment Calc'!AS:AS)</f>
        <v>70240127.192481935</v>
      </c>
      <c r="H17" s="26">
        <f t="shared" si="1"/>
        <v>70240127.192481935</v>
      </c>
      <c r="I17" s="67">
        <f>ROUND(IF(H17/F17&gt;1,1,H17/F17),2)</f>
        <v>1</v>
      </c>
    </row>
    <row r="565" spans="4:4" ht="34.5" customHeight="1"/>
    <row r="567" spans="4:4">
      <c r="D567" s="87"/>
    </row>
    <row r="568" spans="4:4">
      <c r="D568" s="9" t="s">
        <v>2403</v>
      </c>
    </row>
    <row r="569" spans="4:4">
      <c r="D569" s="21">
        <v>0.42032577492162498</v>
      </c>
    </row>
    <row r="570" spans="4:4">
      <c r="D570" s="21">
        <v>0.71798745206164105</v>
      </c>
    </row>
    <row r="571" spans="4:4">
      <c r="D571" s="21">
        <v>0</v>
      </c>
    </row>
    <row r="572" spans="4:4">
      <c r="D572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01D0D-80F2-406F-A3DB-CD5E39616D50}">
  <sheetPr>
    <tabColor rgb="FF7030A0"/>
    <pageSetUpPr fitToPage="1"/>
  </sheetPr>
  <dimension ref="A1:Q68"/>
  <sheetViews>
    <sheetView zoomScale="70" zoomScaleNormal="70" workbookViewId="0">
      <selection activeCell="Q34" sqref="Q34"/>
    </sheetView>
  </sheetViews>
  <sheetFormatPr defaultColWidth="8.796875" defaultRowHeight="15"/>
  <cols>
    <col min="1" max="1" width="31.796875" style="9" customWidth="1"/>
    <col min="2" max="2" width="18" style="9" customWidth="1"/>
    <col min="3" max="3" width="15.19921875" style="9" customWidth="1"/>
    <col min="4" max="4" width="18.69921875" style="6" customWidth="1"/>
    <col min="5" max="5" width="16.19921875" style="6" customWidth="1"/>
    <col min="6" max="6" width="18.8984375" style="6" customWidth="1"/>
    <col min="7" max="7" width="17.19921875" style="6" customWidth="1"/>
    <col min="8" max="8" width="18.09765625" style="6" customWidth="1"/>
    <col min="9" max="9" width="18.296875" style="6" customWidth="1"/>
    <col min="10" max="16" width="15.8984375" style="9" customWidth="1"/>
    <col min="17" max="17" width="12" style="9" customWidth="1"/>
    <col min="18" max="16384" width="8.796875" style="9"/>
  </cols>
  <sheetData>
    <row r="1" spans="1:17" ht="19.5">
      <c r="A1" s="65" t="s">
        <v>3013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20.25" thickBot="1">
      <c r="A2" s="29"/>
      <c r="B2" s="29"/>
      <c r="C2" s="29"/>
    </row>
    <row r="3" spans="1:17" ht="15.75" thickBot="1">
      <c r="A3" s="27" t="s">
        <v>2404</v>
      </c>
      <c r="B3" s="28">
        <f>SUM(B5:B61)</f>
        <v>2199918194.1099992</v>
      </c>
      <c r="C3" s="28">
        <f>SUM(C5:C61)</f>
        <v>590777520.54999983</v>
      </c>
      <c r="D3" s="28">
        <f>SUM(D5:D61)</f>
        <v>2790695714.6600022</v>
      </c>
      <c r="E3" s="28">
        <f t="shared" ref="E3:F3" si="0">SUM(E5:E61)</f>
        <v>3404974339.9727259</v>
      </c>
      <c r="F3" s="28">
        <f t="shared" si="0"/>
        <v>2095813359.5135438</v>
      </c>
      <c r="G3" s="28">
        <f>SUM(G5:G61)</f>
        <v>5500787699.4862671</v>
      </c>
      <c r="H3" s="28"/>
      <c r="I3" s="28"/>
      <c r="J3" s="28">
        <f>SUM(J5:J61)</f>
        <v>2264063567.661551</v>
      </c>
      <c r="K3" s="28">
        <f>SUM(K5:K61)</f>
        <v>627674532.09607565</v>
      </c>
      <c r="L3" s="93">
        <f>SUM(L5:L61)</f>
        <v>2891738099.7576261</v>
      </c>
      <c r="M3" s="93">
        <f t="shared" ref="M3:N3" si="1">SUM(M5:M61)</f>
        <v>1456540719.0332329</v>
      </c>
      <c r="N3" s="93">
        <f t="shared" si="1"/>
        <v>574359933.41714966</v>
      </c>
      <c r="O3" s="28">
        <f>SUM(O5:O61)</f>
        <v>2030900652.450382</v>
      </c>
      <c r="P3" s="28">
        <f>SUM(P5:P61)</f>
        <v>4922638752.2080069</v>
      </c>
      <c r="Q3" s="75">
        <f t="shared" ref="Q3" si="2">SUM(Q5:Q61)</f>
        <v>407</v>
      </c>
    </row>
    <row r="4" spans="1:17" ht="45">
      <c r="A4" s="34" t="s">
        <v>2388</v>
      </c>
      <c r="B4" s="79" t="s">
        <v>2519</v>
      </c>
      <c r="C4" s="79" t="s">
        <v>2520</v>
      </c>
      <c r="D4" s="34" t="s">
        <v>2521</v>
      </c>
      <c r="E4" s="79" t="s">
        <v>3010</v>
      </c>
      <c r="F4" s="79" t="s">
        <v>3011</v>
      </c>
      <c r="G4" s="34" t="s">
        <v>3012</v>
      </c>
      <c r="H4" s="79" t="s">
        <v>2525</v>
      </c>
      <c r="I4" s="79" t="s">
        <v>2526</v>
      </c>
      <c r="J4" s="79" t="s">
        <v>2522</v>
      </c>
      <c r="K4" s="79" t="s">
        <v>2523</v>
      </c>
      <c r="L4" s="79" t="s">
        <v>2524</v>
      </c>
      <c r="M4" s="79" t="s">
        <v>2702</v>
      </c>
      <c r="N4" s="79" t="s">
        <v>2703</v>
      </c>
      <c r="O4" s="79" t="s">
        <v>2708</v>
      </c>
      <c r="P4" s="79" t="s">
        <v>2407</v>
      </c>
      <c r="Q4" s="64" t="s">
        <v>2324</v>
      </c>
    </row>
    <row r="5" spans="1:17">
      <c r="A5" s="71" t="s">
        <v>2470</v>
      </c>
      <c r="B5" s="72">
        <f>SUMIF('CHIRP Payment Calc'!H:H,A5,'CHIRP Payment Calc'!L:L)</f>
        <v>827833070.59000003</v>
      </c>
      <c r="C5" s="72">
        <f>SUMIF('CHIRP Payment Calc'!H:H,A5,'CHIRP Payment Calc'!M:M)</f>
        <v>88067810.280000001</v>
      </c>
      <c r="D5" s="72">
        <f>SUMIF('CHIRP Payment Calc'!H:H,A5,'CHIRP Payment Calc'!N:N)</f>
        <v>915900880.87000012</v>
      </c>
      <c r="E5" s="72">
        <f>SUMIF('CHIRP Payment Calc'!H:H,A5,'CHIRP Payment Calc'!I:I)</f>
        <v>527640242.93460101</v>
      </c>
      <c r="F5" s="72">
        <f>SUMIF('CHIRP Payment Calc'!H:H,A5,'CHIRP Payment Calc'!J:J)</f>
        <v>295510105.88018209</v>
      </c>
      <c r="G5" s="72">
        <f>SUMIF('CHIRP Payment Calc'!H:H,A5,'CHIRP Payment Calc'!K:K)</f>
        <v>823150348.81478286</v>
      </c>
      <c r="H5" s="73">
        <f>IFERROR(MAX(ROUND(B5/E5,2),0),0)</f>
        <v>1.57</v>
      </c>
      <c r="I5" s="73">
        <f>IFERROR(MAX(ROUND(C5/F5,2),0),0)</f>
        <v>0.3</v>
      </c>
      <c r="J5" s="74">
        <f t="shared" ref="J5:J36" si="3">+H5*E5</f>
        <v>828395181.4073236</v>
      </c>
      <c r="K5" s="74">
        <f t="shared" ref="K5:K36" si="4">+I5*F5</f>
        <v>88653031.764054626</v>
      </c>
      <c r="L5" s="74">
        <f>J5+K5</f>
        <v>917048213.17137825</v>
      </c>
      <c r="M5" s="74">
        <f>SUMIF('CHIRP Payment Calc'!H:H,A5,'CHIRP Payment Calc'!AJ:AJ)</f>
        <v>0</v>
      </c>
      <c r="N5" s="74">
        <f>SUMIF('CHIRP Payment Calc'!H:H,A5,'CHIRP Payment Calc'!AK:AK)</f>
        <v>44569959.704176374</v>
      </c>
      <c r="O5" s="72">
        <f>M5+N5</f>
        <v>44569959.704176374</v>
      </c>
      <c r="P5" s="74">
        <f>+L5+O5</f>
        <v>961618172.87555468</v>
      </c>
      <c r="Q5" s="76">
        <f>COUNTIF('CHIRP Payment Calc'!H:H,A5)</f>
        <v>44</v>
      </c>
    </row>
    <row r="6" spans="1:17">
      <c r="A6" s="71" t="s">
        <v>2471</v>
      </c>
      <c r="B6" s="72">
        <f>SUMIF('CHIRP Payment Calc'!H:H,A6,'CHIRP Payment Calc'!L:L)</f>
        <v>154543709.01999995</v>
      </c>
      <c r="C6" s="72">
        <f>SUMIF('CHIRP Payment Calc'!H:H,A6,'CHIRP Payment Calc'!M:M)</f>
        <v>40962819.259999998</v>
      </c>
      <c r="D6" s="72">
        <f>SUMIF('CHIRP Payment Calc'!H:H,A6,'CHIRP Payment Calc'!N:N)</f>
        <v>195506528.27999997</v>
      </c>
      <c r="E6" s="72">
        <f>SUMIF('CHIRP Payment Calc'!H:H,A6,'CHIRP Payment Calc'!I:I)</f>
        <v>285462477.91184437</v>
      </c>
      <c r="F6" s="72">
        <f>SUMIF('CHIRP Payment Calc'!H:H,A6,'CHIRP Payment Calc'!J:J)</f>
        <v>152610679.86887318</v>
      </c>
      <c r="G6" s="72">
        <f>SUMIF('CHIRP Payment Calc'!H:H,A6,'CHIRP Payment Calc'!K:K)</f>
        <v>438073157.78071773</v>
      </c>
      <c r="H6" s="73">
        <f t="shared" ref="H6:H61" si="5">IFERROR(MAX(ROUND(B6/E6,2),0),0)</f>
        <v>0.54</v>
      </c>
      <c r="I6" s="73">
        <f t="shared" ref="I6:I61" si="6">IFERROR(MAX(ROUND(C6/F6,2),0),0)</f>
        <v>0.27</v>
      </c>
      <c r="J6" s="74">
        <f t="shared" si="3"/>
        <v>154149738.07239598</v>
      </c>
      <c r="K6" s="74">
        <f t="shared" si="4"/>
        <v>41204883.564595759</v>
      </c>
      <c r="L6" s="74">
        <f t="shared" ref="L6:L61" si="7">J6+K6</f>
        <v>195354621.63699174</v>
      </c>
      <c r="M6" s="74">
        <f>SUMIF('CHIRP Payment Calc'!H:H,A6,'CHIRP Payment Calc'!AJ:AJ)</f>
        <v>227276113.18618569</v>
      </c>
      <c r="N6" s="74">
        <f>SUMIF('CHIRP Payment Calc'!H:H,A6,'CHIRP Payment Calc'!AK:AK)</f>
        <v>65066739.232681789</v>
      </c>
      <c r="O6" s="72">
        <f t="shared" ref="O6:O61" si="8">M6+N6</f>
        <v>292342852.41886747</v>
      </c>
      <c r="P6" s="74">
        <f t="shared" ref="P6:P61" si="9">+L6+O6</f>
        <v>487697474.05585921</v>
      </c>
      <c r="Q6" s="76">
        <f>COUNTIF('CHIRP Payment Calc'!H:H,A6)</f>
        <v>32</v>
      </c>
    </row>
    <row r="7" spans="1:17">
      <c r="A7" s="71" t="s">
        <v>2472</v>
      </c>
      <c r="B7" s="72">
        <f>SUMIF('CHIRP Payment Calc'!H:H,A7,'CHIRP Payment Calc'!L:L)</f>
        <v>104128981.14999999</v>
      </c>
      <c r="C7" s="72">
        <f>SUMIF('CHIRP Payment Calc'!H:H,A7,'CHIRP Payment Calc'!M:M)</f>
        <v>52259950.100000001</v>
      </c>
      <c r="D7" s="72">
        <f>SUMIF('CHIRP Payment Calc'!H:H,A7,'CHIRP Payment Calc'!N:N)</f>
        <v>156388931.25</v>
      </c>
      <c r="E7" s="72">
        <f>SUMIF('CHIRP Payment Calc'!H:H,A7,'CHIRP Payment Calc'!I:I)</f>
        <v>260817098.14850783</v>
      </c>
      <c r="F7" s="72">
        <f>SUMIF('CHIRP Payment Calc'!H:H,A7,'CHIRP Payment Calc'!J:J)</f>
        <v>116209116.08345318</v>
      </c>
      <c r="G7" s="72">
        <f>SUMIF('CHIRP Payment Calc'!H:H,A7,'CHIRP Payment Calc'!K:K)</f>
        <v>377026214.23196095</v>
      </c>
      <c r="H7" s="73">
        <f t="shared" si="5"/>
        <v>0.4</v>
      </c>
      <c r="I7" s="73">
        <f t="shared" si="6"/>
        <v>0.45</v>
      </c>
      <c r="J7" s="74">
        <f t="shared" si="3"/>
        <v>104326839.25940314</v>
      </c>
      <c r="K7" s="74">
        <f t="shared" si="4"/>
        <v>52294102.237553932</v>
      </c>
      <c r="L7" s="74">
        <f t="shared" si="7"/>
        <v>156620941.49695706</v>
      </c>
      <c r="M7" s="74">
        <f>SUMIF('CHIRP Payment Calc'!H:H,A7,'CHIRP Payment Calc'!AJ:AJ)</f>
        <v>140056211.37047958</v>
      </c>
      <c r="N7" s="74">
        <f>SUMIF('CHIRP Payment Calc'!H:H,A7,'CHIRP Payment Calc'!AK:AK)</f>
        <v>10408581.530825945</v>
      </c>
      <c r="O7" s="72">
        <f t="shared" si="8"/>
        <v>150464792.90130553</v>
      </c>
      <c r="P7" s="74">
        <f t="shared" si="9"/>
        <v>307085734.39826262</v>
      </c>
      <c r="Q7" s="76">
        <f>COUNTIF('CHIRP Payment Calc'!H:H,A7)</f>
        <v>10</v>
      </c>
    </row>
    <row r="8" spans="1:17">
      <c r="A8" s="71" t="s">
        <v>2465</v>
      </c>
      <c r="B8" s="72">
        <f>SUMIF('CHIRP Payment Calc'!H:H,A8,'CHIRP Payment Calc'!L:L)</f>
        <v>367468117.89999998</v>
      </c>
      <c r="C8" s="72">
        <f>SUMIF('CHIRP Payment Calc'!H:H,A8,'CHIRP Payment Calc'!M:M)</f>
        <v>9820612.7699999996</v>
      </c>
      <c r="D8" s="72">
        <f>SUMIF('CHIRP Payment Calc'!H:H,A8,'CHIRP Payment Calc'!N:N)</f>
        <v>377288730.66999996</v>
      </c>
      <c r="E8" s="72">
        <f>SUMIF('CHIRP Payment Calc'!H:H,A8,'CHIRP Payment Calc'!I:I)</f>
        <v>328133807.23275727</v>
      </c>
      <c r="F8" s="72">
        <f>SUMIF('CHIRP Payment Calc'!H:H,A8,'CHIRP Payment Calc'!J:J)</f>
        <v>287503168.77779323</v>
      </c>
      <c r="G8" s="72">
        <f>SUMIF('CHIRP Payment Calc'!H:H,A8,'CHIRP Payment Calc'!K:K)</f>
        <v>615636976.0105505</v>
      </c>
      <c r="H8" s="73">
        <f t="shared" si="5"/>
        <v>1.1200000000000001</v>
      </c>
      <c r="I8" s="73">
        <f t="shared" si="6"/>
        <v>0.03</v>
      </c>
      <c r="J8" s="74">
        <f t="shared" si="3"/>
        <v>367509864.10068816</v>
      </c>
      <c r="K8" s="74">
        <f t="shared" si="4"/>
        <v>8625095.0633337963</v>
      </c>
      <c r="L8" s="74">
        <f t="shared" si="7"/>
        <v>376134959.16402197</v>
      </c>
      <c r="M8" s="74">
        <f>SUMIF('CHIRP Payment Calc'!H:H,A8,'CHIRP Payment Calc'!AJ:AJ)</f>
        <v>0</v>
      </c>
      <c r="N8" s="74">
        <f>SUMIF('CHIRP Payment Calc'!H:H,A8,'CHIRP Payment Calc'!AK:AK)</f>
        <v>83375918.945560023</v>
      </c>
      <c r="O8" s="72">
        <f t="shared" si="8"/>
        <v>83375918.945560023</v>
      </c>
      <c r="P8" s="74">
        <f t="shared" si="9"/>
        <v>459510878.10958201</v>
      </c>
      <c r="Q8" s="76">
        <f>COUNTIF('CHIRP Payment Calc'!H:H,A8)</f>
        <v>1</v>
      </c>
    </row>
    <row r="9" spans="1:17">
      <c r="A9" s="71" t="s">
        <v>2473</v>
      </c>
      <c r="B9" s="72">
        <f>SUMIF('CHIRP Payment Calc'!H:H,A9,'CHIRP Payment Calc'!L:L)</f>
        <v>21845099.210000001</v>
      </c>
      <c r="C9" s="72">
        <f>SUMIF('CHIRP Payment Calc'!H:H,A9,'CHIRP Payment Calc'!M:M)</f>
        <v>20207914.949999999</v>
      </c>
      <c r="D9" s="72">
        <f>SUMIF('CHIRP Payment Calc'!H:H,A9,'CHIRP Payment Calc'!N:N)</f>
        <v>42053014.159999996</v>
      </c>
      <c r="E9" s="72">
        <f>SUMIF('CHIRP Payment Calc'!H:H,A9,'CHIRP Payment Calc'!I:I)</f>
        <v>121190141.46450198</v>
      </c>
      <c r="F9" s="72">
        <f>SUMIF('CHIRP Payment Calc'!H:H,A9,'CHIRP Payment Calc'!J:J)</f>
        <v>71901603.473336816</v>
      </c>
      <c r="G9" s="72">
        <f>SUMIF('CHIRP Payment Calc'!H:H,A9,'CHIRP Payment Calc'!K:K)</f>
        <v>193091744.93783879</v>
      </c>
      <c r="H9" s="73">
        <f t="shared" si="5"/>
        <v>0.18</v>
      </c>
      <c r="I9" s="73">
        <f t="shared" si="6"/>
        <v>0.28000000000000003</v>
      </c>
      <c r="J9" s="74">
        <f t="shared" si="3"/>
        <v>21814225.463610355</v>
      </c>
      <c r="K9" s="74">
        <f t="shared" si="4"/>
        <v>20132448.97253431</v>
      </c>
      <c r="L9" s="74">
        <f t="shared" si="7"/>
        <v>41946674.436144665</v>
      </c>
      <c r="M9" s="74">
        <f>SUMIF('CHIRP Payment Calc'!H:H,A9,'CHIRP Payment Calc'!AJ:AJ)</f>
        <v>0</v>
      </c>
      <c r="N9" s="74">
        <f>SUMIF('CHIRP Payment Calc'!H:H,A9,'CHIRP Payment Calc'!AK:AK)</f>
        <v>0</v>
      </c>
      <c r="O9" s="72">
        <f t="shared" si="8"/>
        <v>0</v>
      </c>
      <c r="P9" s="74">
        <f t="shared" si="9"/>
        <v>41946674.436144665</v>
      </c>
      <c r="Q9" s="76">
        <f>COUNTIF('CHIRP Payment Calc'!H:H,A9)</f>
        <v>1</v>
      </c>
    </row>
    <row r="10" spans="1:17">
      <c r="A10" s="71" t="s">
        <v>2474</v>
      </c>
      <c r="B10" s="72">
        <f>SUMIF('CHIRP Payment Calc'!H:H,A10,'CHIRP Payment Calc'!L:L)</f>
        <v>45272609.289999999</v>
      </c>
      <c r="C10" s="72">
        <f>SUMIF('CHIRP Payment Calc'!H:H,A10,'CHIRP Payment Calc'!M:M)</f>
        <v>55232341.849999994</v>
      </c>
      <c r="D10" s="72">
        <f>SUMIF('CHIRP Payment Calc'!H:H,A10,'CHIRP Payment Calc'!N:N)</f>
        <v>100504951.13999999</v>
      </c>
      <c r="E10" s="72">
        <f>SUMIF('CHIRP Payment Calc'!H:H,A10,'CHIRP Payment Calc'!I:I)</f>
        <v>106293338.2706254</v>
      </c>
      <c r="F10" s="72">
        <f>SUMIF('CHIRP Payment Calc'!H:H,A10,'CHIRP Payment Calc'!J:J)</f>
        <v>60176130.321053177</v>
      </c>
      <c r="G10" s="72">
        <f>SUMIF('CHIRP Payment Calc'!H:H,A10,'CHIRP Payment Calc'!K:K)</f>
        <v>166469468.59167856</v>
      </c>
      <c r="H10" s="73">
        <f t="shared" si="5"/>
        <v>0.43</v>
      </c>
      <c r="I10" s="73">
        <f t="shared" si="6"/>
        <v>0.92</v>
      </c>
      <c r="J10" s="74">
        <f t="shared" si="3"/>
        <v>45706135.456368923</v>
      </c>
      <c r="K10" s="74">
        <f t="shared" si="4"/>
        <v>55362039.895368926</v>
      </c>
      <c r="L10" s="74">
        <f t="shared" si="7"/>
        <v>101068175.35173786</v>
      </c>
      <c r="M10" s="74">
        <f>SUMIF('CHIRP Payment Calc'!H:H,A10,'CHIRP Payment Calc'!AJ:AJ)</f>
        <v>48602228.569568127</v>
      </c>
      <c r="N10" s="74">
        <f>SUMIF('CHIRP Payment Calc'!H:H,A10,'CHIRP Payment Calc'!AK:AK)</f>
        <v>0</v>
      </c>
      <c r="O10" s="72">
        <f t="shared" si="8"/>
        <v>48602228.569568127</v>
      </c>
      <c r="P10" s="74">
        <f t="shared" si="9"/>
        <v>149670403.92130598</v>
      </c>
      <c r="Q10" s="76">
        <f>COUNTIF('CHIRP Payment Calc'!H:H,A10)</f>
        <v>10</v>
      </c>
    </row>
    <row r="11" spans="1:17">
      <c r="A11" s="71" t="s">
        <v>2475</v>
      </c>
      <c r="B11" s="72">
        <f>SUMIF('CHIRP Payment Calc'!H:H,A11,'CHIRP Payment Calc'!L:L)</f>
        <v>133029878.14</v>
      </c>
      <c r="C11" s="72">
        <f>SUMIF('CHIRP Payment Calc'!H:H,A11,'CHIRP Payment Calc'!M:M)</f>
        <v>59257186.610000007</v>
      </c>
      <c r="D11" s="72">
        <f>SUMIF('CHIRP Payment Calc'!H:H,A11,'CHIRP Payment Calc'!N:N)</f>
        <v>192287064.75000006</v>
      </c>
      <c r="E11" s="72">
        <f>SUMIF('CHIRP Payment Calc'!H:H,A11,'CHIRP Payment Calc'!I:I)</f>
        <v>210219282.70122018</v>
      </c>
      <c r="F11" s="72">
        <f>SUMIF('CHIRP Payment Calc'!H:H,A11,'CHIRP Payment Calc'!J:J)</f>
        <v>122205985.36574318</v>
      </c>
      <c r="G11" s="72">
        <f>SUMIF('CHIRP Payment Calc'!H:H,A11,'CHIRP Payment Calc'!K:K)</f>
        <v>332425268.06696337</v>
      </c>
      <c r="H11" s="73">
        <f t="shared" si="5"/>
        <v>0.63</v>
      </c>
      <c r="I11" s="73">
        <f t="shared" si="6"/>
        <v>0.48</v>
      </c>
      <c r="J11" s="74">
        <f t="shared" si="3"/>
        <v>132438148.10176872</v>
      </c>
      <c r="K11" s="74">
        <f t="shared" si="4"/>
        <v>58658872.975556724</v>
      </c>
      <c r="L11" s="74">
        <f t="shared" si="7"/>
        <v>191097021.07732543</v>
      </c>
      <c r="M11" s="74">
        <f>SUMIF('CHIRP Payment Calc'!H:H,A11,'CHIRP Payment Calc'!AJ:AJ)</f>
        <v>101225187.78842367</v>
      </c>
      <c r="N11" s="74">
        <f>SUMIF('CHIRP Payment Calc'!H:H,A11,'CHIRP Payment Calc'!AK:AK)</f>
        <v>33325627.811130948</v>
      </c>
      <c r="O11" s="72">
        <f t="shared" si="8"/>
        <v>134550815.59955463</v>
      </c>
      <c r="P11" s="74">
        <f t="shared" si="9"/>
        <v>325647836.67688006</v>
      </c>
      <c r="Q11" s="76">
        <f>COUNTIF('CHIRP Payment Calc'!H:H,A11)</f>
        <v>12</v>
      </c>
    </row>
    <row r="12" spans="1:17">
      <c r="A12" s="71" t="s">
        <v>2463</v>
      </c>
      <c r="B12" s="72">
        <f>SUMIF('CHIRP Payment Calc'!H:H,A12,'CHIRP Payment Calc'!L:L)</f>
        <v>132891319.2</v>
      </c>
      <c r="C12" s="72">
        <f>SUMIF('CHIRP Payment Calc'!H:H,A12,'CHIRP Payment Calc'!M:M)</f>
        <v>-38369218.799999997</v>
      </c>
      <c r="D12" s="72">
        <f>SUMIF('CHIRP Payment Calc'!H:H,A12,'CHIRP Payment Calc'!N:N)</f>
        <v>94522100.399999976</v>
      </c>
      <c r="E12" s="72">
        <f>SUMIF('CHIRP Payment Calc'!H:H,A12,'CHIRP Payment Calc'!I:I)</f>
        <v>187949014.82963815</v>
      </c>
      <c r="F12" s="72">
        <f>SUMIF('CHIRP Payment Calc'!H:H,A12,'CHIRP Payment Calc'!J:J)</f>
        <v>276631368.65658081</v>
      </c>
      <c r="G12" s="72">
        <f>SUMIF('CHIRP Payment Calc'!H:H,A12,'CHIRP Payment Calc'!K:K)</f>
        <v>464580383.48621905</v>
      </c>
      <c r="H12" s="73">
        <f t="shared" si="5"/>
        <v>0.71</v>
      </c>
      <c r="I12" s="73">
        <f t="shared" si="6"/>
        <v>0</v>
      </c>
      <c r="J12" s="74">
        <f t="shared" si="3"/>
        <v>133443800.52904308</v>
      </c>
      <c r="K12" s="74">
        <f t="shared" si="4"/>
        <v>0</v>
      </c>
      <c r="L12" s="74">
        <f t="shared" si="7"/>
        <v>133443800.52904308</v>
      </c>
      <c r="M12" s="74">
        <f>SUMIF('CHIRP Payment Calc'!H:H,A12,'CHIRP Payment Calc'!AJ:AJ)</f>
        <v>58002978.286781818</v>
      </c>
      <c r="N12" s="74">
        <f>SUMIF('CHIRP Payment Calc'!H:H,A12,'CHIRP Payment Calc'!AK:AK)</f>
        <v>76964477.36944361</v>
      </c>
      <c r="O12" s="72">
        <f t="shared" si="8"/>
        <v>134967455.65622544</v>
      </c>
      <c r="P12" s="74">
        <f t="shared" si="9"/>
        <v>268411256.18526852</v>
      </c>
      <c r="Q12" s="76">
        <f>COUNTIF('CHIRP Payment Calc'!H:H,A12)</f>
        <v>3</v>
      </c>
    </row>
    <row r="13" spans="1:17">
      <c r="A13" s="71" t="s">
        <v>2476</v>
      </c>
      <c r="B13" s="72">
        <f>SUMIF('CHIRP Payment Calc'!H:H,A13,'CHIRP Payment Calc'!L:L)</f>
        <v>130387014.33000001</v>
      </c>
      <c r="C13" s="72">
        <f>SUMIF('CHIRP Payment Calc'!H:H,A13,'CHIRP Payment Calc'!M:M)</f>
        <v>42884048.359999992</v>
      </c>
      <c r="D13" s="72">
        <f>SUMIF('CHIRP Payment Calc'!H:H,A13,'CHIRP Payment Calc'!N:N)</f>
        <v>173271062.69</v>
      </c>
      <c r="E13" s="72">
        <f>SUMIF('CHIRP Payment Calc'!H:H,A13,'CHIRP Payment Calc'!I:I)</f>
        <v>176531306.16979232</v>
      </c>
      <c r="F13" s="72">
        <f>SUMIF('CHIRP Payment Calc'!H:H,A13,'CHIRP Payment Calc'!J:J)</f>
        <v>86958374.674170226</v>
      </c>
      <c r="G13" s="72">
        <f>SUMIF('CHIRP Payment Calc'!H:H,A13,'CHIRP Payment Calc'!K:K)</f>
        <v>263489680.84396261</v>
      </c>
      <c r="H13" s="73">
        <f t="shared" si="5"/>
        <v>0.74</v>
      </c>
      <c r="I13" s="73">
        <f t="shared" si="6"/>
        <v>0.49</v>
      </c>
      <c r="J13" s="74">
        <f t="shared" si="3"/>
        <v>130633166.56564632</v>
      </c>
      <c r="K13" s="74">
        <f t="shared" si="4"/>
        <v>42609603.590343408</v>
      </c>
      <c r="L13" s="74">
        <f t="shared" si="7"/>
        <v>173242770.15598974</v>
      </c>
      <c r="M13" s="74">
        <f>SUMIF('CHIRP Payment Calc'!H:H,A13,'CHIRP Payment Calc'!AJ:AJ)</f>
        <v>164859739.71251434</v>
      </c>
      <c r="N13" s="74">
        <f>SUMIF('CHIRP Payment Calc'!H:H,A13,'CHIRP Payment Calc'!AK:AK)</f>
        <v>24804828.887479763</v>
      </c>
      <c r="O13" s="72">
        <f t="shared" si="8"/>
        <v>189664568.59999409</v>
      </c>
      <c r="P13" s="74">
        <f t="shared" si="9"/>
        <v>362907338.75598383</v>
      </c>
      <c r="Q13" s="76">
        <f>COUNTIF('CHIRP Payment Calc'!H:H,A13)</f>
        <v>32</v>
      </c>
    </row>
    <row r="14" spans="1:17">
      <c r="A14" s="71" t="s">
        <v>2468</v>
      </c>
      <c r="B14" s="72">
        <f>SUMIF('CHIRP Payment Calc'!H:H,A14,'CHIRP Payment Calc'!L:L)</f>
        <v>87408143.540000007</v>
      </c>
      <c r="C14" s="72">
        <f>SUMIF('CHIRP Payment Calc'!H:H,A14,'CHIRP Payment Calc'!M:M)</f>
        <v>15353056.710000001</v>
      </c>
      <c r="D14" s="72">
        <f>SUMIF('CHIRP Payment Calc'!H:H,A14,'CHIRP Payment Calc'!N:N)</f>
        <v>102761200.25</v>
      </c>
      <c r="E14" s="72">
        <f>SUMIF('CHIRP Payment Calc'!H:H,A14,'CHIRP Payment Calc'!I:I)</f>
        <v>137319014.58679339</v>
      </c>
      <c r="F14" s="72">
        <f>SUMIF('CHIRP Payment Calc'!H:H,A14,'CHIRP Payment Calc'!J:J)</f>
        <v>100706719.99977851</v>
      </c>
      <c r="G14" s="72">
        <f>SUMIF('CHIRP Payment Calc'!H:H,A14,'CHIRP Payment Calc'!K:K)</f>
        <v>238025734.5865719</v>
      </c>
      <c r="H14" s="73">
        <f t="shared" si="5"/>
        <v>0.64</v>
      </c>
      <c r="I14" s="73">
        <f t="shared" si="6"/>
        <v>0.15</v>
      </c>
      <c r="J14" s="74">
        <f t="shared" si="3"/>
        <v>87884169.335547775</v>
      </c>
      <c r="K14" s="74">
        <f t="shared" si="4"/>
        <v>15106007.999966776</v>
      </c>
      <c r="L14" s="74">
        <f t="shared" si="7"/>
        <v>102990177.33551455</v>
      </c>
      <c r="M14" s="74">
        <f>SUMIF('CHIRP Payment Calc'!H:H,A14,'CHIRP Payment Calc'!AJ:AJ)</f>
        <v>102989260.94009504</v>
      </c>
      <c r="N14" s="74">
        <f>SUMIF('CHIRP Payment Calc'!H:H,A14,'CHIRP Payment Calc'!AK:AK)</f>
        <v>40282687.999911405</v>
      </c>
      <c r="O14" s="72">
        <f t="shared" si="8"/>
        <v>143271948.94000643</v>
      </c>
      <c r="P14" s="74">
        <f t="shared" si="9"/>
        <v>246262126.27552098</v>
      </c>
      <c r="Q14" s="76">
        <f>COUNTIF('CHIRP Payment Calc'!H:H,A14)</f>
        <v>1</v>
      </c>
    </row>
    <row r="15" spans="1:17" s="11" customFormat="1">
      <c r="A15" s="95" t="s">
        <v>2477</v>
      </c>
      <c r="B15" s="96">
        <f>SUMIF('CHIRP Payment Calc'!H:H,A15,'CHIRP Payment Calc'!L:L)</f>
        <v>-29665516.039999995</v>
      </c>
      <c r="C15" s="96">
        <f>SUMIF('CHIRP Payment Calc'!H:H,A15,'CHIRP Payment Calc'!M:M)</f>
        <v>22959414.109999999</v>
      </c>
      <c r="D15" s="96">
        <f>SUMIF('CHIRP Payment Calc'!H:H,A15,'CHIRP Payment Calc'!N:N)</f>
        <v>-6706101.9299999923</v>
      </c>
      <c r="E15" s="96">
        <f>SUMIF('CHIRP Payment Calc'!H:H,A15,'CHIRP Payment Calc'!I:I)</f>
        <v>68982331.423994869</v>
      </c>
      <c r="F15" s="96">
        <f>SUMIF('CHIRP Payment Calc'!H:H,A15,'CHIRP Payment Calc'!J:J)</f>
        <v>37692672.434708863</v>
      </c>
      <c r="G15" s="96">
        <f>SUMIF('CHIRP Payment Calc'!H:H,A15,'CHIRP Payment Calc'!K:K)</f>
        <v>106675003.85870373</v>
      </c>
      <c r="H15" s="73">
        <f t="shared" si="5"/>
        <v>0</v>
      </c>
      <c r="I15" s="73">
        <f t="shared" si="6"/>
        <v>0.61</v>
      </c>
      <c r="J15" s="97">
        <f t="shared" si="3"/>
        <v>0</v>
      </c>
      <c r="K15" s="97">
        <f t="shared" si="4"/>
        <v>22992530.185172405</v>
      </c>
      <c r="L15" s="74">
        <f t="shared" si="7"/>
        <v>22992530.185172405</v>
      </c>
      <c r="M15" s="74">
        <f>SUMIF('CHIRP Payment Calc'!H:H,A15,'CHIRP Payment Calc'!AJ:AJ)</f>
        <v>13769027.999685528</v>
      </c>
      <c r="N15" s="74">
        <f>SUMIF('CHIRP Payment Calc'!H:H,A15,'CHIRP Payment Calc'!AK:AK)</f>
        <v>15897377.839685002</v>
      </c>
      <c r="O15" s="72">
        <f t="shared" si="8"/>
        <v>29666405.83937053</v>
      </c>
      <c r="P15" s="74">
        <f t="shared" si="9"/>
        <v>52658936.024542935</v>
      </c>
      <c r="Q15" s="98">
        <f>COUNTIF('CHIRP Payment Calc'!H:H,A15)</f>
        <v>7</v>
      </c>
    </row>
    <row r="16" spans="1:17">
      <c r="A16" s="71" t="s">
        <v>2478</v>
      </c>
      <c r="B16" s="72">
        <f>SUMIF('CHIRP Payment Calc'!H:H,A16,'CHIRP Payment Calc'!L:L)</f>
        <v>19224826.060000002</v>
      </c>
      <c r="C16" s="72">
        <f>SUMIF('CHIRP Payment Calc'!H:H,A16,'CHIRP Payment Calc'!M:M)</f>
        <v>15937447.460000001</v>
      </c>
      <c r="D16" s="72">
        <f>SUMIF('CHIRP Payment Calc'!H:H,A16,'CHIRP Payment Calc'!N:N)</f>
        <v>35162273.520000003</v>
      </c>
      <c r="E16" s="72">
        <f>SUMIF('CHIRP Payment Calc'!H:H,A16,'CHIRP Payment Calc'!I:I)</f>
        <v>66799939.554244801</v>
      </c>
      <c r="F16" s="72">
        <f>SUMIF('CHIRP Payment Calc'!H:H,A16,'CHIRP Payment Calc'!J:J)</f>
        <v>23601604.034363329</v>
      </c>
      <c r="G16" s="72">
        <f>SUMIF('CHIRP Payment Calc'!H:H,A16,'CHIRP Payment Calc'!K:K)</f>
        <v>90401543.588608131</v>
      </c>
      <c r="H16" s="73">
        <f t="shared" si="5"/>
        <v>0.28999999999999998</v>
      </c>
      <c r="I16" s="73">
        <f t="shared" si="6"/>
        <v>0.68</v>
      </c>
      <c r="J16" s="74">
        <f t="shared" si="3"/>
        <v>19371982.47073099</v>
      </c>
      <c r="K16" s="74">
        <f t="shared" si="4"/>
        <v>16049090.743367065</v>
      </c>
      <c r="L16" s="74">
        <f t="shared" si="7"/>
        <v>35421073.214098051</v>
      </c>
      <c r="M16" s="74">
        <f>SUMIF('CHIRP Payment Calc'!H:H,A16,'CHIRP Payment Calc'!AJ:AJ)</f>
        <v>35368429.642252676</v>
      </c>
      <c r="N16" s="74">
        <f>SUMIF('CHIRP Payment Calc'!H:H,A16,'CHIRP Payment Calc'!AK:AK)</f>
        <v>5641410.8495085891</v>
      </c>
      <c r="O16" s="72">
        <f t="shared" si="8"/>
        <v>41009840.491761267</v>
      </c>
      <c r="P16" s="74">
        <f t="shared" si="9"/>
        <v>76430913.705859318</v>
      </c>
      <c r="Q16" s="76">
        <f>COUNTIF('CHIRP Payment Calc'!H:H,A16)</f>
        <v>4</v>
      </c>
    </row>
    <row r="17" spans="1:17">
      <c r="A17" s="71" t="s">
        <v>2479</v>
      </c>
      <c r="B17" s="72">
        <f>SUMIF('CHIRP Payment Calc'!H:H,A17,'CHIRP Payment Calc'!L:L)</f>
        <v>7054983.709999999</v>
      </c>
      <c r="C17" s="72">
        <f>SUMIF('CHIRP Payment Calc'!H:H,A17,'CHIRP Payment Calc'!M:M)</f>
        <v>18243854.640000001</v>
      </c>
      <c r="D17" s="72">
        <f>SUMIF('CHIRP Payment Calc'!H:H,A17,'CHIRP Payment Calc'!N:N)</f>
        <v>25298838.350000001</v>
      </c>
      <c r="E17" s="72">
        <f>SUMIF('CHIRP Payment Calc'!H:H,A17,'CHIRP Payment Calc'!I:I)</f>
        <v>74619808.849838555</v>
      </c>
      <c r="F17" s="72">
        <f>SUMIF('CHIRP Payment Calc'!H:H,A17,'CHIRP Payment Calc'!J:J)</f>
        <v>40324976.539405338</v>
      </c>
      <c r="G17" s="72">
        <f>SUMIF('CHIRP Payment Calc'!H:H,A17,'CHIRP Payment Calc'!K:K)</f>
        <v>114944785.38924387</v>
      </c>
      <c r="H17" s="73">
        <f t="shared" si="5"/>
        <v>0.09</v>
      </c>
      <c r="I17" s="73">
        <f t="shared" si="6"/>
        <v>0.45</v>
      </c>
      <c r="J17" s="74">
        <f t="shared" si="3"/>
        <v>6715782.7964854697</v>
      </c>
      <c r="K17" s="74">
        <f t="shared" si="4"/>
        <v>18146239.442732401</v>
      </c>
      <c r="L17" s="74">
        <f t="shared" si="7"/>
        <v>24862022.23921787</v>
      </c>
      <c r="M17" s="74">
        <f>SUMIF('CHIRP Payment Calc'!H:H,A17,'CHIRP Payment Calc'!AJ:AJ)</f>
        <v>89178898.126358598</v>
      </c>
      <c r="N17" s="74">
        <f>SUMIF('CHIRP Payment Calc'!H:H,A17,'CHIRP Payment Calc'!AK:AK)</f>
        <v>15877731.998617424</v>
      </c>
      <c r="O17" s="72">
        <f t="shared" si="8"/>
        <v>105056630.12497602</v>
      </c>
      <c r="P17" s="74">
        <f t="shared" si="9"/>
        <v>129918652.36419389</v>
      </c>
      <c r="Q17" s="76">
        <f>COUNTIF('CHIRP Payment Calc'!H:H,A17)</f>
        <v>7</v>
      </c>
    </row>
    <row r="18" spans="1:17">
      <c r="A18" s="71" t="s">
        <v>2480</v>
      </c>
      <c r="B18" s="72">
        <f>SUMIF('CHIRP Payment Calc'!H:H,A18,'CHIRP Payment Calc'!L:L)</f>
        <v>42229492.869999997</v>
      </c>
      <c r="C18" s="72">
        <f>SUMIF('CHIRP Payment Calc'!H:H,A18,'CHIRP Payment Calc'!M:M)</f>
        <v>32239491.16</v>
      </c>
      <c r="D18" s="72">
        <f>SUMIF('CHIRP Payment Calc'!H:H,A18,'CHIRP Payment Calc'!N:N)</f>
        <v>74468984.029999986</v>
      </c>
      <c r="E18" s="72">
        <f>SUMIF('CHIRP Payment Calc'!H:H,A18,'CHIRP Payment Calc'!I:I)</f>
        <v>121012128.16277912</v>
      </c>
      <c r="F18" s="72">
        <f>SUMIF('CHIRP Payment Calc'!H:H,A18,'CHIRP Payment Calc'!J:J)</f>
        <v>35020754.96596688</v>
      </c>
      <c r="G18" s="72">
        <f>SUMIF('CHIRP Payment Calc'!H:H,A18,'CHIRP Payment Calc'!K:K)</f>
        <v>156032883.128746</v>
      </c>
      <c r="H18" s="73">
        <f t="shared" si="5"/>
        <v>0.35</v>
      </c>
      <c r="I18" s="73">
        <f t="shared" si="6"/>
        <v>0.92</v>
      </c>
      <c r="J18" s="74">
        <f t="shared" si="3"/>
        <v>42354244.856972687</v>
      </c>
      <c r="K18" s="74">
        <f t="shared" si="4"/>
        <v>32219094.568689533</v>
      </c>
      <c r="L18" s="74">
        <f t="shared" si="7"/>
        <v>74573339.42566222</v>
      </c>
      <c r="M18" s="74">
        <f>SUMIF('CHIRP Payment Calc'!H:H,A18,'CHIRP Payment Calc'!AJ:AJ)</f>
        <v>106161474.98436803</v>
      </c>
      <c r="N18" s="74">
        <f>SUMIF('CHIRP Payment Calc'!H:H,A18,'CHIRP Payment Calc'!AK:AK)</f>
        <v>2838605.3479075166</v>
      </c>
      <c r="O18" s="72">
        <f t="shared" si="8"/>
        <v>109000080.33227554</v>
      </c>
      <c r="P18" s="74">
        <f t="shared" si="9"/>
        <v>183573419.75793776</v>
      </c>
      <c r="Q18" s="76">
        <f>COUNTIF('CHIRP Payment Calc'!H:H,A18)</f>
        <v>20</v>
      </c>
    </row>
    <row r="19" spans="1:17">
      <c r="A19" s="71" t="s">
        <v>2467</v>
      </c>
      <c r="B19" s="72">
        <f>SUMIF('CHIRP Payment Calc'!H:H,A19,'CHIRP Payment Calc'!L:L)</f>
        <v>41205101.780000001</v>
      </c>
      <c r="C19" s="72">
        <f>SUMIF('CHIRP Payment Calc'!H:H,A19,'CHIRP Payment Calc'!M:M)</f>
        <v>9044850.8200000003</v>
      </c>
      <c r="D19" s="72">
        <f>SUMIF('CHIRP Payment Calc'!H:H,A19,'CHIRP Payment Calc'!N:N)</f>
        <v>50249952.600000001</v>
      </c>
      <c r="E19" s="72">
        <f>SUMIF('CHIRP Payment Calc'!H:H,A19,'CHIRP Payment Calc'!I:I)</f>
        <v>62563937.662945956</v>
      </c>
      <c r="F19" s="72">
        <f>SUMIF('CHIRP Payment Calc'!H:H,A19,'CHIRP Payment Calc'!J:J)</f>
        <v>81722468.584929079</v>
      </c>
      <c r="G19" s="72">
        <f>SUMIF('CHIRP Payment Calc'!H:H,A19,'CHIRP Payment Calc'!K:K)</f>
        <v>144286406.24787503</v>
      </c>
      <c r="H19" s="73">
        <f t="shared" si="5"/>
        <v>0.66</v>
      </c>
      <c r="I19" s="73">
        <f t="shared" si="6"/>
        <v>0.11</v>
      </c>
      <c r="J19" s="74">
        <f t="shared" si="3"/>
        <v>41292198.857544333</v>
      </c>
      <c r="K19" s="74">
        <f t="shared" si="4"/>
        <v>8989471.5443421993</v>
      </c>
      <c r="L19" s="74">
        <f t="shared" si="7"/>
        <v>50281670.40188653</v>
      </c>
      <c r="M19" s="74">
        <f>SUMIF('CHIRP Payment Calc'!H:H,A19,'CHIRP Payment Calc'!AJ:AJ)</f>
        <v>45671674.493950546</v>
      </c>
      <c r="N19" s="74">
        <f>SUMIF('CHIRP Payment Calc'!H:H,A19,'CHIRP Payment Calc'!AK:AK)</f>
        <v>16344493.716985816</v>
      </c>
      <c r="O19" s="72">
        <f t="shared" si="8"/>
        <v>62016168.21093636</v>
      </c>
      <c r="P19" s="74">
        <f t="shared" si="9"/>
        <v>112297838.61282289</v>
      </c>
      <c r="Q19" s="76">
        <f>COUNTIF('CHIRP Payment Calc'!H:H,A19)</f>
        <v>1</v>
      </c>
    </row>
    <row r="20" spans="1:17">
      <c r="A20" s="71" t="s">
        <v>2481</v>
      </c>
      <c r="B20" s="72">
        <f>SUMIF('CHIRP Payment Calc'!H:H,A20,'CHIRP Payment Calc'!L:L)</f>
        <v>43061335.710000001</v>
      </c>
      <c r="C20" s="72">
        <f>SUMIF('CHIRP Payment Calc'!H:H,A20,'CHIRP Payment Calc'!M:M)</f>
        <v>36135709.049999997</v>
      </c>
      <c r="D20" s="72">
        <f>SUMIF('CHIRP Payment Calc'!H:H,A20,'CHIRP Payment Calc'!N:N)</f>
        <v>79197044.760000005</v>
      </c>
      <c r="E20" s="72">
        <f>SUMIF('CHIRP Payment Calc'!H:H,A20,'CHIRP Payment Calc'!I:I)</f>
        <v>71592878.140617609</v>
      </c>
      <c r="F20" s="72">
        <f>SUMIF('CHIRP Payment Calc'!H:H,A20,'CHIRP Payment Calc'!J:J)</f>
        <v>36527485.674354911</v>
      </c>
      <c r="G20" s="72">
        <f>SUMIF('CHIRP Payment Calc'!H:H,A20,'CHIRP Payment Calc'!K:K)</f>
        <v>108120363.8149725</v>
      </c>
      <c r="H20" s="73">
        <f t="shared" si="5"/>
        <v>0.6</v>
      </c>
      <c r="I20" s="73">
        <f t="shared" si="6"/>
        <v>0.99</v>
      </c>
      <c r="J20" s="74">
        <f t="shared" si="3"/>
        <v>42955726.884370565</v>
      </c>
      <c r="K20" s="74">
        <f t="shared" si="4"/>
        <v>36162210.817611359</v>
      </c>
      <c r="L20" s="74">
        <f t="shared" si="7"/>
        <v>79117937.701981932</v>
      </c>
      <c r="M20" s="74">
        <f>SUMIF('CHIRP Payment Calc'!H:H,A20,'CHIRP Payment Calc'!AJ:AJ)</f>
        <v>53529859.618908085</v>
      </c>
      <c r="N20" s="74">
        <f>SUMIF('CHIRP Payment Calc'!H:H,A20,'CHIRP Payment Calc'!AK:AK)</f>
        <v>25340869.461539619</v>
      </c>
      <c r="O20" s="72">
        <f t="shared" si="8"/>
        <v>78870729.080447704</v>
      </c>
      <c r="P20" s="74">
        <f t="shared" si="9"/>
        <v>157988666.78242964</v>
      </c>
      <c r="Q20" s="76">
        <f>COUNTIF('CHIRP Payment Calc'!H:H,A20)</f>
        <v>13</v>
      </c>
    </row>
    <row r="21" spans="1:17">
      <c r="A21" s="71" t="s">
        <v>2482</v>
      </c>
      <c r="B21" s="72">
        <f>SUMIF('CHIRP Payment Calc'!H:H,A21,'CHIRP Payment Calc'!L:L)</f>
        <v>20697298.73</v>
      </c>
      <c r="C21" s="72">
        <f>SUMIF('CHIRP Payment Calc'!H:H,A21,'CHIRP Payment Calc'!M:M)</f>
        <v>25178728.709999997</v>
      </c>
      <c r="D21" s="72">
        <f>SUMIF('CHIRP Payment Calc'!H:H,A21,'CHIRP Payment Calc'!N:N)</f>
        <v>45876027.439999998</v>
      </c>
      <c r="E21" s="72">
        <f>SUMIF('CHIRP Payment Calc'!H:H,A21,'CHIRP Payment Calc'!I:I)</f>
        <v>72166440.24550952</v>
      </c>
      <c r="F21" s="72">
        <f>SUMIF('CHIRP Payment Calc'!H:H,A21,'CHIRP Payment Calc'!J:J)</f>
        <v>31991488.623228725</v>
      </c>
      <c r="G21" s="72">
        <f>SUMIF('CHIRP Payment Calc'!H:H,A21,'CHIRP Payment Calc'!K:K)</f>
        <v>104157928.86873826</v>
      </c>
      <c r="H21" s="73">
        <f t="shared" si="5"/>
        <v>0.28999999999999998</v>
      </c>
      <c r="I21" s="73">
        <f t="shared" si="6"/>
        <v>0.79</v>
      </c>
      <c r="J21" s="74">
        <f t="shared" si="3"/>
        <v>20928267.671197761</v>
      </c>
      <c r="K21" s="74">
        <f t="shared" si="4"/>
        <v>25273276.012350693</v>
      </c>
      <c r="L21" s="74">
        <f t="shared" si="7"/>
        <v>46201543.68354845</v>
      </c>
      <c r="M21" s="74">
        <f>SUMIF('CHIRP Payment Calc'!H:H,A21,'CHIRP Payment Calc'!AJ:AJ)</f>
        <v>52864405.367433444</v>
      </c>
      <c r="N21" s="74">
        <f>SUMIF('CHIRP Payment Calc'!H:H,A21,'CHIRP Payment Calc'!AK:AK)</f>
        <v>5391952.5487808511</v>
      </c>
      <c r="O21" s="72">
        <f t="shared" si="8"/>
        <v>58256357.916214295</v>
      </c>
      <c r="P21" s="74">
        <f t="shared" si="9"/>
        <v>104457901.59976274</v>
      </c>
      <c r="Q21" s="76">
        <f>COUNTIF('CHIRP Payment Calc'!H:H,A21)</f>
        <v>10</v>
      </c>
    </row>
    <row r="22" spans="1:17">
      <c r="A22" s="71" t="s">
        <v>2462</v>
      </c>
      <c r="B22" s="72">
        <f>SUMIF('CHIRP Payment Calc'!H:H,A22,'CHIRP Payment Calc'!L:L)</f>
        <v>20087868.800000001</v>
      </c>
      <c r="C22" s="72">
        <f>SUMIF('CHIRP Payment Calc'!H:H,A22,'CHIRP Payment Calc'!M:M)</f>
        <v>13202818.75</v>
      </c>
      <c r="D22" s="72">
        <f>SUMIF('CHIRP Payment Calc'!H:H,A22,'CHIRP Payment Calc'!N:N)</f>
        <v>33290687.550000001</v>
      </c>
      <c r="E22" s="72">
        <f>SUMIF('CHIRP Payment Calc'!H:H,A22,'CHIRP Payment Calc'!I:I)</f>
        <v>70226406.885589048</v>
      </c>
      <c r="F22" s="72">
        <f>SUMIF('CHIRP Payment Calc'!H:H,A22,'CHIRP Payment Calc'!J:J)</f>
        <v>27826852.702694103</v>
      </c>
      <c r="G22" s="72">
        <f>SUMIF('CHIRP Payment Calc'!H:H,A22,'CHIRP Payment Calc'!K:K)</f>
        <v>98053259.588283151</v>
      </c>
      <c r="H22" s="73">
        <f t="shared" si="5"/>
        <v>0.28999999999999998</v>
      </c>
      <c r="I22" s="73">
        <f t="shared" si="6"/>
        <v>0.47</v>
      </c>
      <c r="J22" s="74">
        <f t="shared" si="3"/>
        <v>20365657.996820822</v>
      </c>
      <c r="K22" s="74">
        <f t="shared" si="4"/>
        <v>13078620.770266227</v>
      </c>
      <c r="L22" s="74">
        <f t="shared" si="7"/>
        <v>33444278.76708705</v>
      </c>
      <c r="M22" s="74">
        <f>SUMIF('CHIRP Payment Calc'!H:H,A22,'CHIRP Payment Calc'!AJ:AJ)</f>
        <v>30899619.029659182</v>
      </c>
      <c r="N22" s="74">
        <f>SUMIF('CHIRP Payment Calc'!H:H,A22,'CHIRP Payment Calc'!AK:AK)</f>
        <v>17530917.202697285</v>
      </c>
      <c r="O22" s="72">
        <f t="shared" si="8"/>
        <v>48430536.232356466</v>
      </c>
      <c r="P22" s="74">
        <f t="shared" si="9"/>
        <v>81874814.999443516</v>
      </c>
      <c r="Q22" s="76">
        <f>COUNTIF('CHIRP Payment Calc'!H:H,A22)</f>
        <v>1</v>
      </c>
    </row>
    <row r="23" spans="1:17">
      <c r="A23" s="71" t="s">
        <v>2469</v>
      </c>
      <c r="B23" s="72">
        <f>SUMIF('CHIRP Payment Calc'!H:H,A23,'CHIRP Payment Calc'!L:L)</f>
        <v>-8486159.6899999995</v>
      </c>
      <c r="C23" s="72">
        <f>SUMIF('CHIRP Payment Calc'!H:H,A23,'CHIRP Payment Calc'!M:M)</f>
        <v>7421761.0599999996</v>
      </c>
      <c r="D23" s="72">
        <f>SUMIF('CHIRP Payment Calc'!H:H,A23,'CHIRP Payment Calc'!N:N)</f>
        <v>-1064398.6299999999</v>
      </c>
      <c r="E23" s="72">
        <f>SUMIF('CHIRP Payment Calc'!H:H,A23,'CHIRP Payment Calc'!I:I)</f>
        <v>62725342.302522086</v>
      </c>
      <c r="F23" s="72">
        <f>SUMIF('CHIRP Payment Calc'!H:H,A23,'CHIRP Payment Calc'!J:J)</f>
        <v>19843112.696584657</v>
      </c>
      <c r="G23" s="72">
        <f>SUMIF('CHIRP Payment Calc'!H:H,A23,'CHIRP Payment Calc'!K:K)</f>
        <v>82568454.999106735</v>
      </c>
      <c r="H23" s="73">
        <f t="shared" si="5"/>
        <v>0</v>
      </c>
      <c r="I23" s="73">
        <f t="shared" si="6"/>
        <v>0.37</v>
      </c>
      <c r="J23" s="74">
        <f t="shared" si="3"/>
        <v>0</v>
      </c>
      <c r="K23" s="74">
        <f t="shared" si="4"/>
        <v>7341951.6977363229</v>
      </c>
      <c r="L23" s="74">
        <f t="shared" si="7"/>
        <v>7341951.6977363229</v>
      </c>
      <c r="M23" s="74">
        <f>SUMIF('CHIRP Payment Calc'!H:H,A23,'CHIRP Payment Calc'!AJ:AJ)</f>
        <v>92206253.184707463</v>
      </c>
      <c r="N23" s="74">
        <f>SUMIF('CHIRP Payment Calc'!H:H,A23,'CHIRP Payment Calc'!AK:AK)</f>
        <v>22224286.220174819</v>
      </c>
      <c r="O23" s="72">
        <f t="shared" si="8"/>
        <v>114430539.40488228</v>
      </c>
      <c r="P23" s="74">
        <f t="shared" si="9"/>
        <v>121772491.1026186</v>
      </c>
      <c r="Q23" s="76">
        <f>COUNTIF('CHIRP Payment Calc'!H:H,A23)</f>
        <v>1</v>
      </c>
    </row>
    <row r="24" spans="1:17">
      <c r="A24" s="71" t="s">
        <v>2483</v>
      </c>
      <c r="B24" s="72">
        <f>SUMIF('CHIRP Payment Calc'!H:H,A24,'CHIRP Payment Calc'!L:L)</f>
        <v>21144387.229999997</v>
      </c>
      <c r="C24" s="72">
        <f>SUMIF('CHIRP Payment Calc'!H:H,A24,'CHIRP Payment Calc'!M:M)</f>
        <v>14977708.470000003</v>
      </c>
      <c r="D24" s="72">
        <f>SUMIF('CHIRP Payment Calc'!H:H,A24,'CHIRP Payment Calc'!N:N)</f>
        <v>36122095.699999996</v>
      </c>
      <c r="E24" s="72">
        <f>SUMIF('CHIRP Payment Calc'!H:H,A24,'CHIRP Payment Calc'!I:I)</f>
        <v>29218244.889994618</v>
      </c>
      <c r="F24" s="72">
        <f>SUMIF('CHIRP Payment Calc'!H:H,A24,'CHIRP Payment Calc'!J:J)</f>
        <v>17536977.692145411</v>
      </c>
      <c r="G24" s="72">
        <f>SUMIF('CHIRP Payment Calc'!H:H,A24,'CHIRP Payment Calc'!K:K)</f>
        <v>46755222.582140028</v>
      </c>
      <c r="H24" s="73">
        <f t="shared" si="5"/>
        <v>0.72</v>
      </c>
      <c r="I24" s="73">
        <f t="shared" si="6"/>
        <v>0.85</v>
      </c>
      <c r="J24" s="74">
        <f t="shared" si="3"/>
        <v>21037136.320796125</v>
      </c>
      <c r="K24" s="74">
        <f t="shared" si="4"/>
        <v>14906431.038323598</v>
      </c>
      <c r="L24" s="74">
        <f t="shared" si="7"/>
        <v>35943567.359119721</v>
      </c>
      <c r="M24" s="74">
        <f>SUMIF('CHIRP Payment Calc'!H:H,A24,'CHIRP Payment Calc'!AJ:AJ)</f>
        <v>35172519.626383342</v>
      </c>
      <c r="N24" s="74">
        <f>SUMIF('CHIRP Payment Calc'!H:H,A24,'CHIRP Payment Calc'!AK:AK)</f>
        <v>4267706.7966328477</v>
      </c>
      <c r="O24" s="72">
        <f t="shared" si="8"/>
        <v>39440226.423016191</v>
      </c>
      <c r="P24" s="74">
        <f t="shared" si="9"/>
        <v>75383793.782135904</v>
      </c>
      <c r="Q24" s="76">
        <f>COUNTIF('CHIRP Payment Calc'!H:H,A24)</f>
        <v>4</v>
      </c>
    </row>
    <row r="25" spans="1:17">
      <c r="A25" s="71" t="s">
        <v>2466</v>
      </c>
      <c r="B25" s="72">
        <f>SUMIF('CHIRP Payment Calc'!H:H,A25,'CHIRP Payment Calc'!L:L)</f>
        <v>2718727.94</v>
      </c>
      <c r="C25" s="72">
        <f>SUMIF('CHIRP Payment Calc'!H:H,A25,'CHIRP Payment Calc'!M:M)</f>
        <v>6739961.4199999999</v>
      </c>
      <c r="D25" s="72">
        <f>SUMIF('CHIRP Payment Calc'!H:H,A25,'CHIRP Payment Calc'!N:N)</f>
        <v>9458689.3599999994</v>
      </c>
      <c r="E25" s="72">
        <f>SUMIF('CHIRP Payment Calc'!H:H,A25,'CHIRP Payment Calc'!I:I)</f>
        <v>35162915.260749012</v>
      </c>
      <c r="F25" s="72">
        <f>SUMIF('CHIRP Payment Calc'!H:H,A25,'CHIRP Payment Calc'!J:J)</f>
        <v>10921666.485682342</v>
      </c>
      <c r="G25" s="72">
        <f>SUMIF('CHIRP Payment Calc'!H:H,A25,'CHIRP Payment Calc'!K:K)</f>
        <v>46084581.746431351</v>
      </c>
      <c r="H25" s="73">
        <f t="shared" si="5"/>
        <v>0.08</v>
      </c>
      <c r="I25" s="73">
        <f t="shared" si="6"/>
        <v>0.62</v>
      </c>
      <c r="J25" s="74">
        <f t="shared" si="3"/>
        <v>2813033.2208599211</v>
      </c>
      <c r="K25" s="74">
        <f t="shared" si="4"/>
        <v>6771433.2211230518</v>
      </c>
      <c r="L25" s="74">
        <f t="shared" si="7"/>
        <v>9584466.4419829734</v>
      </c>
      <c r="M25" s="74">
        <f>SUMIF('CHIRP Payment Calc'!H:H,A25,'CHIRP Payment Calc'!AJ:AJ)</f>
        <v>13010278.646477135</v>
      </c>
      <c r="N25" s="74">
        <f>SUMIF('CHIRP Payment Calc'!H:H,A25,'CHIRP Payment Calc'!AK:AK)</f>
        <v>11249316.480252814</v>
      </c>
      <c r="O25" s="72">
        <f t="shared" si="8"/>
        <v>24259595.12672995</v>
      </c>
      <c r="P25" s="74">
        <f t="shared" si="9"/>
        <v>33844061.56871292</v>
      </c>
      <c r="Q25" s="76">
        <f>COUNTIF('CHIRP Payment Calc'!H:H,A25)</f>
        <v>1</v>
      </c>
    </row>
    <row r="26" spans="1:17">
      <c r="A26" s="71" t="s">
        <v>2464</v>
      </c>
      <c r="B26" s="72">
        <f>SUMIF('CHIRP Payment Calc'!H:H,A26,'CHIRP Payment Calc'!L:L)</f>
        <v>-11456538.18</v>
      </c>
      <c r="C26" s="72">
        <f>SUMIF('CHIRP Payment Calc'!H:H,A26,'CHIRP Payment Calc'!M:M)</f>
        <v>4021902.39</v>
      </c>
      <c r="D26" s="72">
        <f>SUMIF('CHIRP Payment Calc'!H:H,A26,'CHIRP Payment Calc'!N:N)</f>
        <v>-7434635.7899999991</v>
      </c>
      <c r="E26" s="72">
        <f>SUMIF('CHIRP Payment Calc'!H:H,A26,'CHIRP Payment Calc'!I:I)</f>
        <v>28242081.045980513</v>
      </c>
      <c r="F26" s="72">
        <f>SUMIF('CHIRP Payment Calc'!H:H,A26,'CHIRP Payment Calc'!J:J)</f>
        <v>5759201.4110180279</v>
      </c>
      <c r="G26" s="72">
        <f>SUMIF('CHIRP Payment Calc'!H:H,A26,'CHIRP Payment Calc'!K:K)</f>
        <v>34001282.456998542</v>
      </c>
      <c r="H26" s="73">
        <f t="shared" si="5"/>
        <v>0</v>
      </c>
      <c r="I26" s="73">
        <f t="shared" si="6"/>
        <v>0.7</v>
      </c>
      <c r="J26" s="74">
        <f t="shared" si="3"/>
        <v>0</v>
      </c>
      <c r="K26" s="74">
        <f t="shared" si="4"/>
        <v>4031440.9877126194</v>
      </c>
      <c r="L26" s="74">
        <f t="shared" si="7"/>
        <v>4031440.9877126194</v>
      </c>
      <c r="M26" s="74">
        <f>SUMIF('CHIRP Payment Calc'!H:H,A26,'CHIRP Payment Calc'!AJ:AJ)</f>
        <v>11861674.039311815</v>
      </c>
      <c r="N26" s="74">
        <f>SUMIF('CHIRP Payment Calc'!H:H,A26,'CHIRP Payment Calc'!AK:AK)</f>
        <v>8178066.0036455989</v>
      </c>
      <c r="O26" s="72">
        <f t="shared" si="8"/>
        <v>20039740.042957414</v>
      </c>
      <c r="P26" s="74">
        <f t="shared" si="9"/>
        <v>24071181.030670032</v>
      </c>
      <c r="Q26" s="76">
        <f>COUNTIF('CHIRP Payment Calc'!H:H,A26)</f>
        <v>1</v>
      </c>
    </row>
    <row r="27" spans="1:17">
      <c r="A27" s="71" t="s">
        <v>2484</v>
      </c>
      <c r="B27" s="72">
        <f>SUMIF('CHIRP Payment Calc'!H:H,A27,'CHIRP Payment Calc'!L:L)</f>
        <v>11426343.970000001</v>
      </c>
      <c r="C27" s="72">
        <f>SUMIF('CHIRP Payment Calc'!H:H,A27,'CHIRP Payment Calc'!M:M)</f>
        <v>5953710.7000000002</v>
      </c>
      <c r="D27" s="72">
        <f>SUMIF('CHIRP Payment Calc'!H:H,A27,'CHIRP Payment Calc'!N:N)</f>
        <v>17380054.670000002</v>
      </c>
      <c r="E27" s="72">
        <f>SUMIF('CHIRP Payment Calc'!H:H,A27,'CHIRP Payment Calc'!I:I)</f>
        <v>16813507.423815403</v>
      </c>
      <c r="F27" s="72">
        <f>SUMIF('CHIRP Payment Calc'!H:H,A27,'CHIRP Payment Calc'!J:J)</f>
        <v>4896678.5875008479</v>
      </c>
      <c r="G27" s="72">
        <f>SUMIF('CHIRP Payment Calc'!H:H,A27,'CHIRP Payment Calc'!K:K)</f>
        <v>21710186.011316251</v>
      </c>
      <c r="H27" s="73">
        <f t="shared" si="5"/>
        <v>0.68</v>
      </c>
      <c r="I27" s="73">
        <f t="shared" si="6"/>
        <v>1.22</v>
      </c>
      <c r="J27" s="74">
        <f t="shared" si="3"/>
        <v>11433185.048194475</v>
      </c>
      <c r="K27" s="74">
        <f t="shared" si="4"/>
        <v>5973947.8767510345</v>
      </c>
      <c r="L27" s="74">
        <f t="shared" si="7"/>
        <v>17407132.924945511</v>
      </c>
      <c r="M27" s="74">
        <f>SUMIF('CHIRP Payment Calc'!H:H,A27,'CHIRP Payment Calc'!AJ:AJ)</f>
        <v>13282670.86481417</v>
      </c>
      <c r="N27" s="74">
        <f>SUMIF('CHIRP Payment Calc'!H:H,A27,'CHIRP Payment Calc'!AK:AK)</f>
        <v>3084907.5101255341</v>
      </c>
      <c r="O27" s="72">
        <f t="shared" si="8"/>
        <v>16367578.374939704</v>
      </c>
      <c r="P27" s="74">
        <f t="shared" si="9"/>
        <v>33774711.299885213</v>
      </c>
      <c r="Q27" s="76">
        <f>COUNTIF('CHIRP Payment Calc'!H:H,A27)</f>
        <v>1</v>
      </c>
    </row>
    <row r="28" spans="1:17">
      <c r="A28" s="71" t="s">
        <v>2485</v>
      </c>
      <c r="B28" s="72">
        <f>SUMIF('CHIRP Payment Calc'!H:H,A28,'CHIRP Payment Calc'!L:L)</f>
        <v>34741.65</v>
      </c>
      <c r="C28" s="72">
        <f>SUMIF('CHIRP Payment Calc'!H:H,A28,'CHIRP Payment Calc'!M:M)</f>
        <v>1877004.34</v>
      </c>
      <c r="D28" s="72">
        <f>SUMIF('CHIRP Payment Calc'!H:H,A28,'CHIRP Payment Calc'!N:N)</f>
        <v>1911745.99</v>
      </c>
      <c r="E28" s="72">
        <f>SUMIF('CHIRP Payment Calc'!H:H,A28,'CHIRP Payment Calc'!I:I)</f>
        <v>639545.96282721986</v>
      </c>
      <c r="F28" s="72">
        <f>SUMIF('CHIRP Payment Calc'!H:H,A28,'CHIRP Payment Calc'!J:J)</f>
        <v>3154756.2041887837</v>
      </c>
      <c r="G28" s="72">
        <f>SUMIF('CHIRP Payment Calc'!H:H,A28,'CHIRP Payment Calc'!K:K)</f>
        <v>3794302.1670160033</v>
      </c>
      <c r="H28" s="73">
        <f t="shared" si="5"/>
        <v>0.05</v>
      </c>
      <c r="I28" s="73">
        <f t="shared" si="6"/>
        <v>0.59</v>
      </c>
      <c r="J28" s="74">
        <f t="shared" si="3"/>
        <v>31977.298141360996</v>
      </c>
      <c r="K28" s="74">
        <f t="shared" si="4"/>
        <v>1861306.1604713823</v>
      </c>
      <c r="L28" s="74">
        <f t="shared" si="7"/>
        <v>1893283.4586127433</v>
      </c>
      <c r="M28" s="74">
        <f>SUMIF('CHIRP Payment Calc'!H:H,A28,'CHIRP Payment Calc'!AJ:AJ)</f>
        <v>0</v>
      </c>
      <c r="N28" s="74">
        <f>SUMIF('CHIRP Payment Calc'!H:H,A28,'CHIRP Payment Calc'!AK:AK)</f>
        <v>0</v>
      </c>
      <c r="O28" s="72">
        <f t="shared" si="8"/>
        <v>0</v>
      </c>
      <c r="P28" s="74">
        <f t="shared" si="9"/>
        <v>1893283.4586127433</v>
      </c>
      <c r="Q28" s="76">
        <f>COUNTIF('CHIRP Payment Calc'!H:H,A28)</f>
        <v>1</v>
      </c>
    </row>
    <row r="29" spans="1:17">
      <c r="A29" s="71" t="s">
        <v>2486</v>
      </c>
      <c r="B29" s="72">
        <f>SUMIF('CHIRP Payment Calc'!H:H,A29,'CHIRP Payment Calc'!L:L)</f>
        <v>-2018879.6300000001</v>
      </c>
      <c r="C29" s="72">
        <f>SUMIF('CHIRP Payment Calc'!H:H,A29,'CHIRP Payment Calc'!M:M)</f>
        <v>388226.98</v>
      </c>
      <c r="D29" s="72">
        <f>SUMIF('CHIRP Payment Calc'!H:H,A29,'CHIRP Payment Calc'!N:N)</f>
        <v>-1630652.6500000001</v>
      </c>
      <c r="E29" s="72">
        <f>SUMIF('CHIRP Payment Calc'!H:H,A29,'CHIRP Payment Calc'!I:I)</f>
        <v>11524154.072965017</v>
      </c>
      <c r="F29" s="72">
        <f>SUMIF('CHIRP Payment Calc'!H:H,A29,'CHIRP Payment Calc'!J:J)</f>
        <v>7408495.1811024984</v>
      </c>
      <c r="G29" s="72">
        <f>SUMIF('CHIRP Payment Calc'!H:H,A29,'CHIRP Payment Calc'!K:K)</f>
        <v>18932649.254067518</v>
      </c>
      <c r="H29" s="73">
        <f t="shared" si="5"/>
        <v>0</v>
      </c>
      <c r="I29" s="73">
        <f t="shared" si="6"/>
        <v>0.05</v>
      </c>
      <c r="J29" s="74">
        <f t="shared" si="3"/>
        <v>0</v>
      </c>
      <c r="K29" s="74">
        <f t="shared" si="4"/>
        <v>370424.75905512495</v>
      </c>
      <c r="L29" s="74">
        <f t="shared" si="7"/>
        <v>370424.75905512495</v>
      </c>
      <c r="M29" s="74">
        <f>SUMIF('CHIRP Payment Calc'!H:H,A29,'CHIRP Payment Calc'!AJ:AJ)</f>
        <v>2049701.8494452138</v>
      </c>
      <c r="N29" s="74">
        <f>SUMIF('CHIRP Payment Calc'!H:H,A29,'CHIRP Payment Calc'!AK:AK)</f>
        <v>2656425.9571023332</v>
      </c>
      <c r="O29" s="72">
        <f t="shared" si="8"/>
        <v>4706127.8065475468</v>
      </c>
      <c r="P29" s="74">
        <f t="shared" si="9"/>
        <v>5076552.5656026714</v>
      </c>
      <c r="Q29" s="76">
        <f>COUNTIF('CHIRP Payment Calc'!H:H,A29)</f>
        <v>2</v>
      </c>
    </row>
    <row r="30" spans="1:17">
      <c r="A30" s="71" t="s">
        <v>2487</v>
      </c>
      <c r="B30" s="72">
        <f>SUMIF('CHIRP Payment Calc'!H:H,A30,'CHIRP Payment Calc'!L:L)</f>
        <v>-5111521.51</v>
      </c>
      <c r="C30" s="72">
        <f>SUMIF('CHIRP Payment Calc'!H:H,A30,'CHIRP Payment Calc'!M:M)</f>
        <v>10438728.299999999</v>
      </c>
      <c r="D30" s="72">
        <f>SUMIF('CHIRP Payment Calc'!H:H,A30,'CHIRP Payment Calc'!N:N)</f>
        <v>5327206.79</v>
      </c>
      <c r="E30" s="72">
        <f>SUMIF('CHIRP Payment Calc'!H:H,A30,'CHIRP Payment Calc'!I:I)</f>
        <v>64078707.886357434</v>
      </c>
      <c r="F30" s="72">
        <f>SUMIF('CHIRP Payment Calc'!H:H,A30,'CHIRP Payment Calc'!J:J)</f>
        <v>35173054.141365089</v>
      </c>
      <c r="G30" s="72">
        <f>SUMIF('CHIRP Payment Calc'!H:H,A30,'CHIRP Payment Calc'!K:K)</f>
        <v>99251762.027722523</v>
      </c>
      <c r="H30" s="73">
        <f t="shared" si="5"/>
        <v>0</v>
      </c>
      <c r="I30" s="73">
        <f t="shared" si="6"/>
        <v>0.3</v>
      </c>
      <c r="J30" s="74">
        <f t="shared" si="3"/>
        <v>0</v>
      </c>
      <c r="K30" s="74">
        <f t="shared" si="4"/>
        <v>10551916.242409525</v>
      </c>
      <c r="L30" s="74">
        <f t="shared" si="7"/>
        <v>10551916.242409525</v>
      </c>
      <c r="M30" s="74">
        <f>SUMIF('CHIRP Payment Calc'!H:H,A30,'CHIRP Payment Calc'!AJ:AJ)</f>
        <v>6069029.5052295318</v>
      </c>
      <c r="N30" s="74">
        <f>SUMIF('CHIRP Payment Calc'!H:H,A30,'CHIRP Payment Calc'!AK:AK)</f>
        <v>11187428.247260263</v>
      </c>
      <c r="O30" s="72">
        <f t="shared" si="8"/>
        <v>17256457.752489794</v>
      </c>
      <c r="P30" s="74">
        <f t="shared" si="9"/>
        <v>27808373.994899318</v>
      </c>
      <c r="Q30" s="76">
        <f>COUNTIF('CHIRP Payment Calc'!H:H,A30)</f>
        <v>22</v>
      </c>
    </row>
    <row r="31" spans="1:17">
      <c r="A31" s="71" t="s">
        <v>2488</v>
      </c>
      <c r="B31" s="72">
        <f>SUMIF('CHIRP Payment Calc'!H:H,A31,'CHIRP Payment Calc'!L:L)</f>
        <v>-2120928.2299999995</v>
      </c>
      <c r="C31" s="72">
        <f>SUMIF('CHIRP Payment Calc'!H:H,A31,'CHIRP Payment Calc'!M:M)</f>
        <v>7731869.0699999984</v>
      </c>
      <c r="D31" s="72">
        <f>SUMIF('CHIRP Payment Calc'!H:H,A31,'CHIRP Payment Calc'!N:N)</f>
        <v>5610940.8399999999</v>
      </c>
      <c r="E31" s="72">
        <f>SUMIF('CHIRP Payment Calc'!H:H,A31,'CHIRP Payment Calc'!I:I)</f>
        <v>50120201.17652636</v>
      </c>
      <c r="F31" s="72">
        <f>SUMIF('CHIRP Payment Calc'!H:H,A31,'CHIRP Payment Calc'!J:J)</f>
        <v>38596415.503416918</v>
      </c>
      <c r="G31" s="72">
        <f>SUMIF('CHIRP Payment Calc'!H:H,A31,'CHIRP Payment Calc'!K:K)</f>
        <v>88716616.679943278</v>
      </c>
      <c r="H31" s="73">
        <f t="shared" si="5"/>
        <v>0</v>
      </c>
      <c r="I31" s="73">
        <f t="shared" si="6"/>
        <v>0.2</v>
      </c>
      <c r="J31" s="74">
        <f t="shared" si="3"/>
        <v>0</v>
      </c>
      <c r="K31" s="74">
        <f t="shared" si="4"/>
        <v>7719283.1006833836</v>
      </c>
      <c r="L31" s="74">
        <f t="shared" si="7"/>
        <v>7719283.1006833836</v>
      </c>
      <c r="M31" s="74">
        <f>SUMIF('CHIRP Payment Calc'!H:H,A31,'CHIRP Payment Calc'!AJ:AJ)</f>
        <v>0</v>
      </c>
      <c r="N31" s="74">
        <f>SUMIF('CHIRP Payment Calc'!H:H,A31,'CHIRP Payment Calc'!AK:AK)</f>
        <v>7914127.4596425751</v>
      </c>
      <c r="O31" s="72">
        <f t="shared" si="8"/>
        <v>7914127.4596425751</v>
      </c>
      <c r="P31" s="74">
        <f t="shared" si="9"/>
        <v>15633410.560325958</v>
      </c>
      <c r="Q31" s="76">
        <f>COUNTIF('CHIRP Payment Calc'!H:H,A31)</f>
        <v>58</v>
      </c>
    </row>
    <row r="32" spans="1:17">
      <c r="A32" s="71" t="s">
        <v>2489</v>
      </c>
      <c r="B32" s="72">
        <f>SUMIF('CHIRP Payment Calc'!H:H,A32,'CHIRP Payment Calc'!L:L)</f>
        <v>-2496012.69</v>
      </c>
      <c r="C32" s="72">
        <f>SUMIF('CHIRP Payment Calc'!H:H,A32,'CHIRP Payment Calc'!M:M)</f>
        <v>2383867.0499999998</v>
      </c>
      <c r="D32" s="72">
        <f>SUMIF('CHIRP Payment Calc'!H:H,A32,'CHIRP Payment Calc'!N:N)</f>
        <v>-112145.64000000013</v>
      </c>
      <c r="E32" s="72">
        <f>SUMIF('CHIRP Payment Calc'!H:H,A32,'CHIRP Payment Calc'!I:I)</f>
        <v>10304450.549768711</v>
      </c>
      <c r="F32" s="72">
        <f>SUMIF('CHIRP Payment Calc'!H:H,A32,'CHIRP Payment Calc'!J:J)</f>
        <v>5040004.8126587104</v>
      </c>
      <c r="G32" s="72">
        <f>SUMIF('CHIRP Payment Calc'!H:H,A32,'CHIRP Payment Calc'!K:K)</f>
        <v>15344455.362427423</v>
      </c>
      <c r="H32" s="73">
        <f t="shared" si="5"/>
        <v>0</v>
      </c>
      <c r="I32" s="73">
        <f t="shared" si="6"/>
        <v>0.47</v>
      </c>
      <c r="J32" s="74">
        <f t="shared" si="3"/>
        <v>0</v>
      </c>
      <c r="K32" s="74">
        <f t="shared" si="4"/>
        <v>2368802.2619495937</v>
      </c>
      <c r="L32" s="74">
        <f t="shared" si="7"/>
        <v>2368802.2619495937</v>
      </c>
      <c r="M32" s="74">
        <f>SUMIF('CHIRP Payment Calc'!H:H,A32,'CHIRP Payment Calc'!AJ:AJ)</f>
        <v>5813777.7415553611</v>
      </c>
      <c r="N32" s="74">
        <f>SUMIF('CHIRP Payment Calc'!H:H,A32,'CHIRP Payment Calc'!AK:AK)</f>
        <v>5604615.1107780095</v>
      </c>
      <c r="O32" s="72">
        <f t="shared" si="8"/>
        <v>11418392.852333371</v>
      </c>
      <c r="P32" s="74">
        <f t="shared" si="9"/>
        <v>13787195.114282964</v>
      </c>
      <c r="Q32" s="76">
        <f>COUNTIF('CHIRP Payment Calc'!H:H,A32)</f>
        <v>2</v>
      </c>
    </row>
    <row r="33" spans="1:17">
      <c r="A33" s="71" t="s">
        <v>2490</v>
      </c>
      <c r="B33" s="72">
        <f>SUMIF('CHIRP Payment Calc'!H:H,A33,'CHIRP Payment Calc'!L:L)</f>
        <v>1709469.76</v>
      </c>
      <c r="C33" s="72">
        <f>SUMIF('CHIRP Payment Calc'!H:H,A33,'CHIRP Payment Calc'!M:M)</f>
        <v>0</v>
      </c>
      <c r="D33" s="72">
        <f>SUMIF('CHIRP Payment Calc'!H:H,A33,'CHIRP Payment Calc'!N:N)</f>
        <v>1709469.76</v>
      </c>
      <c r="E33" s="72">
        <f>SUMIF('CHIRP Payment Calc'!H:H,A33,'CHIRP Payment Calc'!I:I)</f>
        <v>8090336.3166029919</v>
      </c>
      <c r="F33" s="72">
        <f>SUMIF('CHIRP Payment Calc'!H:H,A33,'CHIRP Payment Calc'!J:J)</f>
        <v>0</v>
      </c>
      <c r="G33" s="72">
        <f>SUMIF('CHIRP Payment Calc'!H:H,A33,'CHIRP Payment Calc'!K:K)</f>
        <v>8090336.3166029919</v>
      </c>
      <c r="H33" s="73">
        <f t="shared" si="5"/>
        <v>0.21</v>
      </c>
      <c r="I33" s="73">
        <f t="shared" si="6"/>
        <v>0</v>
      </c>
      <c r="J33" s="74">
        <f t="shared" si="3"/>
        <v>1698970.6264866283</v>
      </c>
      <c r="K33" s="74">
        <f t="shared" si="4"/>
        <v>0</v>
      </c>
      <c r="L33" s="74">
        <f t="shared" si="7"/>
        <v>1698970.6264866283</v>
      </c>
      <c r="M33" s="74">
        <f>SUMIF('CHIRP Payment Calc'!H:H,A33,'CHIRP Payment Calc'!AJ:AJ)</f>
        <v>0</v>
      </c>
      <c r="N33" s="74">
        <f>SUMIF('CHIRP Payment Calc'!H:H,A33,'CHIRP Payment Calc'!AK:AK)</f>
        <v>0</v>
      </c>
      <c r="O33" s="72">
        <f t="shared" si="8"/>
        <v>0</v>
      </c>
      <c r="P33" s="74">
        <f t="shared" si="9"/>
        <v>1698970.6264866283</v>
      </c>
      <c r="Q33" s="76">
        <f>COUNTIF('CHIRP Payment Calc'!H:H,A33)</f>
        <v>4</v>
      </c>
    </row>
    <row r="34" spans="1:17">
      <c r="A34" s="71" t="s">
        <v>2491</v>
      </c>
      <c r="B34" s="72">
        <f>SUMIF('CHIRP Payment Calc'!H:H,A34,'CHIRP Payment Calc'!L:L)</f>
        <v>7272687.120000001</v>
      </c>
      <c r="C34" s="72">
        <f>SUMIF('CHIRP Payment Calc'!H:H,A34,'CHIRP Payment Calc'!M:M)</f>
        <v>0</v>
      </c>
      <c r="D34" s="72">
        <f>SUMIF('CHIRP Payment Calc'!H:H,A34,'CHIRP Payment Calc'!N:N)</f>
        <v>7272687.120000001</v>
      </c>
      <c r="E34" s="72">
        <f>SUMIF('CHIRP Payment Calc'!H:H,A34,'CHIRP Payment Calc'!I:I)</f>
        <v>30924115.673982743</v>
      </c>
      <c r="F34" s="72">
        <f>SUMIF('CHIRP Payment Calc'!H:H,A34,'CHIRP Payment Calc'!J:J)</f>
        <v>0</v>
      </c>
      <c r="G34" s="72">
        <f>SUMIF('CHIRP Payment Calc'!H:H,A34,'CHIRP Payment Calc'!K:K)</f>
        <v>30924115.673982743</v>
      </c>
      <c r="H34" s="73">
        <f t="shared" si="5"/>
        <v>0.24</v>
      </c>
      <c r="I34" s="73">
        <f t="shared" si="6"/>
        <v>0</v>
      </c>
      <c r="J34" s="74">
        <f t="shared" si="3"/>
        <v>7421787.7617558585</v>
      </c>
      <c r="K34" s="74">
        <f t="shared" si="4"/>
        <v>0</v>
      </c>
      <c r="L34" s="74">
        <f t="shared" si="7"/>
        <v>7421787.7617558585</v>
      </c>
      <c r="M34" s="74">
        <f>SUMIF('CHIRP Payment Calc'!H:H,A34,'CHIRP Payment Calc'!AJ:AJ)</f>
        <v>0</v>
      </c>
      <c r="N34" s="74">
        <f>SUMIF('CHIRP Payment Calc'!H:H,A34,'CHIRP Payment Calc'!AK:AK)</f>
        <v>0</v>
      </c>
      <c r="O34" s="72">
        <f t="shared" si="8"/>
        <v>0</v>
      </c>
      <c r="P34" s="74">
        <f t="shared" si="9"/>
        <v>7421787.7617558585</v>
      </c>
      <c r="Q34" s="76">
        <f>COUNTIF('CHIRP Payment Calc'!H:H,A34)</f>
        <v>9</v>
      </c>
    </row>
    <row r="35" spans="1:17">
      <c r="A35" s="71" t="s">
        <v>2492</v>
      </c>
      <c r="B35" s="72">
        <f>SUMIF('CHIRP Payment Calc'!H:H,A35,'CHIRP Payment Calc'!L:L)</f>
        <v>98360.08</v>
      </c>
      <c r="C35" s="72">
        <f>SUMIF('CHIRP Payment Calc'!H:H,A35,'CHIRP Payment Calc'!M:M)</f>
        <v>0</v>
      </c>
      <c r="D35" s="72">
        <f>SUMIF('CHIRP Payment Calc'!H:H,A35,'CHIRP Payment Calc'!N:N)</f>
        <v>98360.08</v>
      </c>
      <c r="E35" s="72">
        <f>SUMIF('CHIRP Payment Calc'!H:H,A35,'CHIRP Payment Calc'!I:I)</f>
        <v>5605644.4613847136</v>
      </c>
      <c r="F35" s="72">
        <f>SUMIF('CHIRP Payment Calc'!H:H,A35,'CHIRP Payment Calc'!J:J)</f>
        <v>0</v>
      </c>
      <c r="G35" s="72">
        <f>SUMIF('CHIRP Payment Calc'!H:H,A35,'CHIRP Payment Calc'!K:K)</f>
        <v>5605644.4613847136</v>
      </c>
      <c r="H35" s="73">
        <f t="shared" si="5"/>
        <v>0.02</v>
      </c>
      <c r="I35" s="73">
        <f t="shared" si="6"/>
        <v>0</v>
      </c>
      <c r="J35" s="74">
        <f t="shared" si="3"/>
        <v>112112.88922769428</v>
      </c>
      <c r="K35" s="74">
        <f t="shared" si="4"/>
        <v>0</v>
      </c>
      <c r="L35" s="74">
        <f t="shared" si="7"/>
        <v>112112.88922769428</v>
      </c>
      <c r="M35" s="74">
        <f>SUMIF('CHIRP Payment Calc'!H:H,A35,'CHIRP Payment Calc'!AJ:AJ)</f>
        <v>494325.40089218767</v>
      </c>
      <c r="N35" s="74">
        <f>SUMIF('CHIRP Payment Calc'!H:H,A35,'CHIRP Payment Calc'!AK:AK)</f>
        <v>0</v>
      </c>
      <c r="O35" s="72">
        <f t="shared" si="8"/>
        <v>494325.40089218767</v>
      </c>
      <c r="P35" s="74">
        <f t="shared" si="9"/>
        <v>606438.29011988197</v>
      </c>
      <c r="Q35" s="76">
        <f>COUNTIF('CHIRP Payment Calc'!H:H,A35)</f>
        <v>2</v>
      </c>
    </row>
    <row r="36" spans="1:17">
      <c r="A36" s="71" t="s">
        <v>2493</v>
      </c>
      <c r="B36" s="72">
        <f>SUMIF('CHIRP Payment Calc'!H:H,A36,'CHIRP Payment Calc'!L:L)</f>
        <v>2050678.16</v>
      </c>
      <c r="C36" s="72">
        <f>SUMIF('CHIRP Payment Calc'!H:H,A36,'CHIRP Payment Calc'!M:M)</f>
        <v>0</v>
      </c>
      <c r="D36" s="72">
        <f>SUMIF('CHIRP Payment Calc'!H:H,A36,'CHIRP Payment Calc'!N:N)</f>
        <v>2050678.16</v>
      </c>
      <c r="E36" s="72">
        <f>SUMIF('CHIRP Payment Calc'!H:H,A36,'CHIRP Payment Calc'!I:I)</f>
        <v>7826926.3038669173</v>
      </c>
      <c r="F36" s="72">
        <f>SUMIF('CHIRP Payment Calc'!H:H,A36,'CHIRP Payment Calc'!J:J)</f>
        <v>0</v>
      </c>
      <c r="G36" s="72">
        <f>SUMIF('CHIRP Payment Calc'!H:H,A36,'CHIRP Payment Calc'!K:K)</f>
        <v>7826926.3038669173</v>
      </c>
      <c r="H36" s="73">
        <f t="shared" si="5"/>
        <v>0.26</v>
      </c>
      <c r="I36" s="73">
        <f t="shared" si="6"/>
        <v>0</v>
      </c>
      <c r="J36" s="74">
        <f t="shared" si="3"/>
        <v>2035000.8390053986</v>
      </c>
      <c r="K36" s="74">
        <f t="shared" si="4"/>
        <v>0</v>
      </c>
      <c r="L36" s="74">
        <f t="shared" si="7"/>
        <v>2035000.8390053986</v>
      </c>
      <c r="M36" s="74">
        <f>SUMIF('CHIRP Payment Calc'!H:H,A36,'CHIRP Payment Calc'!AJ:AJ)</f>
        <v>0</v>
      </c>
      <c r="N36" s="74">
        <f>SUMIF('CHIRP Payment Calc'!H:H,A36,'CHIRP Payment Calc'!AK:AK)</f>
        <v>0</v>
      </c>
      <c r="O36" s="72">
        <f t="shared" si="8"/>
        <v>0</v>
      </c>
      <c r="P36" s="74">
        <f t="shared" si="9"/>
        <v>2035000.8390053986</v>
      </c>
      <c r="Q36" s="76">
        <f>COUNTIF('CHIRP Payment Calc'!H:H,A36)</f>
        <v>4</v>
      </c>
    </row>
    <row r="37" spans="1:17">
      <c r="A37" s="71" t="s">
        <v>2494</v>
      </c>
      <c r="B37" s="72">
        <f>SUMIF('CHIRP Payment Calc'!H:H,A37,'CHIRP Payment Calc'!L:L)</f>
        <v>1226858.31</v>
      </c>
      <c r="C37" s="72">
        <f>SUMIF('CHIRP Payment Calc'!H:H,A37,'CHIRP Payment Calc'!M:M)</f>
        <v>0</v>
      </c>
      <c r="D37" s="72">
        <f>SUMIF('CHIRP Payment Calc'!H:H,A37,'CHIRP Payment Calc'!N:N)</f>
        <v>1226858.31</v>
      </c>
      <c r="E37" s="72">
        <f>SUMIF('CHIRP Payment Calc'!H:H,A37,'CHIRP Payment Calc'!I:I)</f>
        <v>18732257.351583973</v>
      </c>
      <c r="F37" s="72">
        <f>SUMIF('CHIRP Payment Calc'!H:H,A37,'CHIRP Payment Calc'!J:J)</f>
        <v>0</v>
      </c>
      <c r="G37" s="72">
        <f>SUMIF('CHIRP Payment Calc'!H:H,A37,'CHIRP Payment Calc'!K:K)</f>
        <v>18732257.351583973</v>
      </c>
      <c r="H37" s="73">
        <f t="shared" si="5"/>
        <v>7.0000000000000007E-2</v>
      </c>
      <c r="I37" s="73">
        <f t="shared" si="6"/>
        <v>0</v>
      </c>
      <c r="J37" s="74">
        <f t="shared" ref="J37:J61" si="10">+H37*E37</f>
        <v>1311258.0146108782</v>
      </c>
      <c r="K37" s="74">
        <f t="shared" ref="K37:K61" si="11">+I37*F37</f>
        <v>0</v>
      </c>
      <c r="L37" s="74">
        <f t="shared" si="7"/>
        <v>1311258.0146108782</v>
      </c>
      <c r="M37" s="74">
        <f>SUMIF('CHIRP Payment Calc'!H:H,A37,'CHIRP Payment Calc'!AJ:AJ)</f>
        <v>0</v>
      </c>
      <c r="N37" s="74">
        <f>SUMIF('CHIRP Payment Calc'!H:H,A37,'CHIRP Payment Calc'!AK:AK)</f>
        <v>0</v>
      </c>
      <c r="O37" s="72">
        <f t="shared" si="8"/>
        <v>0</v>
      </c>
      <c r="P37" s="74">
        <f t="shared" si="9"/>
        <v>1311258.0146108782</v>
      </c>
      <c r="Q37" s="76">
        <f>COUNTIF('CHIRP Payment Calc'!H:H,A37)</f>
        <v>3</v>
      </c>
    </row>
    <row r="38" spans="1:17">
      <c r="A38" s="71" t="s">
        <v>2495</v>
      </c>
      <c r="B38" s="72">
        <f>SUMIF('CHIRP Payment Calc'!H:H,A38,'CHIRP Payment Calc'!L:L)</f>
        <v>432277.77</v>
      </c>
      <c r="C38" s="72">
        <f>SUMIF('CHIRP Payment Calc'!H:H,A38,'CHIRP Payment Calc'!M:M)</f>
        <v>0</v>
      </c>
      <c r="D38" s="72">
        <f>SUMIF('CHIRP Payment Calc'!H:H,A38,'CHIRP Payment Calc'!N:N)</f>
        <v>432277.77</v>
      </c>
      <c r="E38" s="72">
        <f>SUMIF('CHIRP Payment Calc'!H:H,A38,'CHIRP Payment Calc'!I:I)</f>
        <v>1115199.3524143042</v>
      </c>
      <c r="F38" s="72">
        <f>SUMIF('CHIRP Payment Calc'!H:H,A38,'CHIRP Payment Calc'!J:J)</f>
        <v>0</v>
      </c>
      <c r="G38" s="72">
        <f>SUMIF('CHIRP Payment Calc'!H:H,A38,'CHIRP Payment Calc'!K:K)</f>
        <v>1115199.3524143042</v>
      </c>
      <c r="H38" s="73">
        <f t="shared" si="5"/>
        <v>0.39</v>
      </c>
      <c r="I38" s="73">
        <f t="shared" si="6"/>
        <v>0</v>
      </c>
      <c r="J38" s="74">
        <f t="shared" si="10"/>
        <v>434927.74744157866</v>
      </c>
      <c r="K38" s="74">
        <f t="shared" si="11"/>
        <v>0</v>
      </c>
      <c r="L38" s="74">
        <f t="shared" si="7"/>
        <v>434927.74744157866</v>
      </c>
      <c r="M38" s="74">
        <f>SUMIF('CHIRP Payment Calc'!H:H,A38,'CHIRP Payment Calc'!AJ:AJ)</f>
        <v>0</v>
      </c>
      <c r="N38" s="74">
        <f>SUMIF('CHIRP Payment Calc'!H:H,A38,'CHIRP Payment Calc'!AK:AK)</f>
        <v>0</v>
      </c>
      <c r="O38" s="72">
        <f t="shared" si="8"/>
        <v>0</v>
      </c>
      <c r="P38" s="74">
        <f t="shared" si="9"/>
        <v>434927.74744157866</v>
      </c>
      <c r="Q38" s="76">
        <f>COUNTIF('CHIRP Payment Calc'!H:H,A38)</f>
        <v>4</v>
      </c>
    </row>
    <row r="39" spans="1:17">
      <c r="A39" s="71" t="s">
        <v>2496</v>
      </c>
      <c r="B39" s="72">
        <f>SUMIF('CHIRP Payment Calc'!H:H,A39,'CHIRP Payment Calc'!L:L)</f>
        <v>62747.879999999983</v>
      </c>
      <c r="C39" s="72">
        <f>SUMIF('CHIRP Payment Calc'!H:H,A39,'CHIRP Payment Calc'!M:M)</f>
        <v>1599587.73</v>
      </c>
      <c r="D39" s="72">
        <f>SUMIF('CHIRP Payment Calc'!H:H,A39,'CHIRP Payment Calc'!N:N)</f>
        <v>1662335.61</v>
      </c>
      <c r="E39" s="72">
        <f>SUMIF('CHIRP Payment Calc'!H:H,A39,'CHIRP Payment Calc'!I:I)</f>
        <v>6093095.2209924366</v>
      </c>
      <c r="F39" s="72">
        <f>SUMIF('CHIRP Payment Calc'!H:H,A39,'CHIRP Payment Calc'!J:J)</f>
        <v>5704528.0352745764</v>
      </c>
      <c r="G39" s="72">
        <f>SUMIF('CHIRP Payment Calc'!H:H,A39,'CHIRP Payment Calc'!K:K)</f>
        <v>11797623.256267011</v>
      </c>
      <c r="H39" s="73">
        <f t="shared" si="5"/>
        <v>0.01</v>
      </c>
      <c r="I39" s="73">
        <f t="shared" si="6"/>
        <v>0.28000000000000003</v>
      </c>
      <c r="J39" s="74">
        <f t="shared" si="10"/>
        <v>60930.95220992437</v>
      </c>
      <c r="K39" s="74">
        <f t="shared" si="11"/>
        <v>1597267.8498768816</v>
      </c>
      <c r="L39" s="74">
        <f t="shared" si="7"/>
        <v>1658198.8020868059</v>
      </c>
      <c r="M39" s="74">
        <f>SUMIF('CHIRP Payment Calc'!H:H,A39,'CHIRP Payment Calc'!AJ:AJ)</f>
        <v>0</v>
      </c>
      <c r="N39" s="74">
        <f>SUMIF('CHIRP Payment Calc'!H:H,A39,'CHIRP Payment Calc'!AK:AK)</f>
        <v>0</v>
      </c>
      <c r="O39" s="72">
        <f t="shared" si="8"/>
        <v>0</v>
      </c>
      <c r="P39" s="74">
        <f t="shared" si="9"/>
        <v>1658198.8020868059</v>
      </c>
      <c r="Q39" s="76">
        <f>COUNTIF('CHIRP Payment Calc'!H:H,A39)</f>
        <v>5</v>
      </c>
    </row>
    <row r="40" spans="1:17">
      <c r="A40" s="71" t="s">
        <v>2497</v>
      </c>
      <c r="B40" s="72">
        <f>SUMIF('CHIRP Payment Calc'!H:H,A40,'CHIRP Payment Calc'!L:L)</f>
        <v>-787860.57000000007</v>
      </c>
      <c r="C40" s="72">
        <f>SUMIF('CHIRP Payment Calc'!H:H,A40,'CHIRP Payment Calc'!M:M)</f>
        <v>1335930.27</v>
      </c>
      <c r="D40" s="72">
        <f>SUMIF('CHIRP Payment Calc'!H:H,A40,'CHIRP Payment Calc'!N:N)</f>
        <v>548069.69999999995</v>
      </c>
      <c r="E40" s="72">
        <f>SUMIF('CHIRP Payment Calc'!H:H,A40,'CHIRP Payment Calc'!I:I)</f>
        <v>6865963.9879706455</v>
      </c>
      <c r="F40" s="72">
        <f>SUMIF('CHIRP Payment Calc'!H:H,A40,'CHIRP Payment Calc'!J:J)</f>
        <v>6194366.4944109907</v>
      </c>
      <c r="G40" s="72">
        <f>SUMIF('CHIRP Payment Calc'!H:H,A40,'CHIRP Payment Calc'!K:K)</f>
        <v>13060330.482381636</v>
      </c>
      <c r="H40" s="73">
        <f t="shared" si="5"/>
        <v>0</v>
      </c>
      <c r="I40" s="73">
        <f t="shared" si="6"/>
        <v>0.22</v>
      </c>
      <c r="J40" s="74">
        <f t="shared" si="10"/>
        <v>0</v>
      </c>
      <c r="K40" s="74">
        <f t="shared" si="11"/>
        <v>1362760.628770418</v>
      </c>
      <c r="L40" s="74">
        <f t="shared" si="7"/>
        <v>1362760.628770418</v>
      </c>
      <c r="M40" s="74">
        <f>SUMIF('CHIRP Payment Calc'!H:H,A40,'CHIRP Payment Calc'!AJ:AJ)</f>
        <v>0</v>
      </c>
      <c r="N40" s="74">
        <f>SUMIF('CHIRP Payment Calc'!H:H,A40,'CHIRP Payment Calc'!AK:AK)</f>
        <v>2187551.7886372223</v>
      </c>
      <c r="O40" s="72">
        <f t="shared" si="8"/>
        <v>2187551.7886372223</v>
      </c>
      <c r="P40" s="74">
        <f t="shared" si="9"/>
        <v>3550312.4174076403</v>
      </c>
      <c r="Q40" s="76">
        <f>COUNTIF('CHIRP Payment Calc'!H:H,A40)</f>
        <v>4</v>
      </c>
    </row>
    <row r="41" spans="1:17">
      <c r="A41" s="71" t="s">
        <v>2498</v>
      </c>
      <c r="B41" s="72">
        <f>SUMIF('CHIRP Payment Calc'!H:H,A41,'CHIRP Payment Calc'!L:L)</f>
        <v>601030.64</v>
      </c>
      <c r="C41" s="72">
        <f>SUMIF('CHIRP Payment Calc'!H:H,A41,'CHIRP Payment Calc'!M:M)</f>
        <v>1230505.1399999999</v>
      </c>
      <c r="D41" s="72">
        <f>SUMIF('CHIRP Payment Calc'!H:H,A41,'CHIRP Payment Calc'!N:N)</f>
        <v>1831535.7799999998</v>
      </c>
      <c r="E41" s="72">
        <f>SUMIF('CHIRP Payment Calc'!H:H,A41,'CHIRP Payment Calc'!I:I)</f>
        <v>3838655.030467134</v>
      </c>
      <c r="F41" s="72">
        <f>SUMIF('CHIRP Payment Calc'!H:H,A41,'CHIRP Payment Calc'!J:J)</f>
        <v>2786024.6654741522</v>
      </c>
      <c r="G41" s="72">
        <f>SUMIF('CHIRP Payment Calc'!H:H,A41,'CHIRP Payment Calc'!K:K)</f>
        <v>6624679.6959412862</v>
      </c>
      <c r="H41" s="73">
        <f t="shared" si="5"/>
        <v>0.16</v>
      </c>
      <c r="I41" s="73">
        <f t="shared" si="6"/>
        <v>0.44</v>
      </c>
      <c r="J41" s="74">
        <f t="shared" si="10"/>
        <v>614184.80487474147</v>
      </c>
      <c r="K41" s="74">
        <f t="shared" si="11"/>
        <v>1225850.8528086271</v>
      </c>
      <c r="L41" s="74">
        <f t="shared" si="7"/>
        <v>1840035.6576833685</v>
      </c>
      <c r="M41" s="74">
        <f>SUMIF('CHIRP Payment Calc'!H:H,A41,'CHIRP Payment Calc'!AJ:AJ)</f>
        <v>3685108.8292484484</v>
      </c>
      <c r="N41" s="74">
        <f>SUMIF('CHIRP Payment Calc'!H:H,A41,'CHIRP Payment Calc'!AK:AK)</f>
        <v>1643754.5526297498</v>
      </c>
      <c r="O41" s="72">
        <f t="shared" si="8"/>
        <v>5328863.3818781981</v>
      </c>
      <c r="P41" s="74">
        <f t="shared" si="9"/>
        <v>7168899.0395615669</v>
      </c>
      <c r="Q41" s="76">
        <f>COUNTIF('CHIRP Payment Calc'!H:H,A41)</f>
        <v>1</v>
      </c>
    </row>
    <row r="42" spans="1:17">
      <c r="A42" s="71" t="s">
        <v>2499</v>
      </c>
      <c r="B42" s="72">
        <f>SUMIF('CHIRP Payment Calc'!H:H,A42,'CHIRP Payment Calc'!L:L)</f>
        <v>1623649.1</v>
      </c>
      <c r="C42" s="72">
        <f>SUMIF('CHIRP Payment Calc'!H:H,A42,'CHIRP Payment Calc'!M:M)</f>
        <v>1281491.53</v>
      </c>
      <c r="D42" s="72">
        <f>SUMIF('CHIRP Payment Calc'!H:H,A42,'CHIRP Payment Calc'!N:N)</f>
        <v>2905140.63</v>
      </c>
      <c r="E42" s="72">
        <f>SUMIF('CHIRP Payment Calc'!H:H,A42,'CHIRP Payment Calc'!I:I)</f>
        <v>9663117.6438790858</v>
      </c>
      <c r="F42" s="72">
        <f>SUMIF('CHIRP Payment Calc'!H:H,A42,'CHIRP Payment Calc'!J:J)</f>
        <v>9779712.2786563821</v>
      </c>
      <c r="G42" s="72">
        <f>SUMIF('CHIRP Payment Calc'!H:H,A42,'CHIRP Payment Calc'!K:K)</f>
        <v>19442829.922535468</v>
      </c>
      <c r="H42" s="73">
        <f t="shared" si="5"/>
        <v>0.17</v>
      </c>
      <c r="I42" s="73">
        <f t="shared" si="6"/>
        <v>0.13</v>
      </c>
      <c r="J42" s="74">
        <f t="shared" si="10"/>
        <v>1642729.9994594448</v>
      </c>
      <c r="K42" s="74">
        <f t="shared" si="11"/>
        <v>1271362.5962253297</v>
      </c>
      <c r="L42" s="74">
        <f t="shared" si="7"/>
        <v>2914092.5956847742</v>
      </c>
      <c r="M42" s="74">
        <f>SUMIF('CHIRP Payment Calc'!H:H,A42,'CHIRP Payment Calc'!AJ:AJ)</f>
        <v>0</v>
      </c>
      <c r="N42" s="74">
        <f>SUMIF('CHIRP Payment Calc'!H:H,A42,'CHIRP Payment Calc'!AK:AK)</f>
        <v>3216106.4489781847</v>
      </c>
      <c r="O42" s="72">
        <f t="shared" si="8"/>
        <v>3216106.4489781847</v>
      </c>
      <c r="P42" s="74">
        <f t="shared" si="9"/>
        <v>6130199.0446629589</v>
      </c>
      <c r="Q42" s="76">
        <f>COUNTIF('CHIRP Payment Calc'!H:H,A42)</f>
        <v>6</v>
      </c>
    </row>
    <row r="43" spans="1:17">
      <c r="A43" s="71" t="s">
        <v>2500</v>
      </c>
      <c r="B43" s="72">
        <f>SUMIF('CHIRP Payment Calc'!H:H,A43,'CHIRP Payment Calc'!L:L)</f>
        <v>231898.2</v>
      </c>
      <c r="C43" s="72">
        <f>SUMIF('CHIRP Payment Calc'!H:H,A43,'CHIRP Payment Calc'!M:M)</f>
        <v>905724.12</v>
      </c>
      <c r="D43" s="72">
        <f>SUMIF('CHIRP Payment Calc'!H:H,A43,'CHIRP Payment Calc'!N:N)</f>
        <v>1137622.32</v>
      </c>
      <c r="E43" s="72">
        <f>SUMIF('CHIRP Payment Calc'!H:H,A43,'CHIRP Payment Calc'!I:I)</f>
        <v>5620580.8932325114</v>
      </c>
      <c r="F43" s="72">
        <f>SUMIF('CHIRP Payment Calc'!H:H,A43,'CHIRP Payment Calc'!J:J)</f>
        <v>4542520.2846859582</v>
      </c>
      <c r="G43" s="72">
        <f>SUMIF('CHIRP Payment Calc'!H:H,A43,'CHIRP Payment Calc'!K:K)</f>
        <v>10163101.17791847</v>
      </c>
      <c r="H43" s="73">
        <f t="shared" si="5"/>
        <v>0.04</v>
      </c>
      <c r="I43" s="73">
        <f t="shared" si="6"/>
        <v>0.2</v>
      </c>
      <c r="J43" s="74">
        <f t="shared" si="10"/>
        <v>224823.23572930045</v>
      </c>
      <c r="K43" s="74">
        <f t="shared" si="11"/>
        <v>908504.05693719164</v>
      </c>
      <c r="L43" s="74">
        <f t="shared" si="7"/>
        <v>1133327.2926664921</v>
      </c>
      <c r="M43" s="74">
        <f>SUMIF('CHIRP Payment Calc'!H:H,A43,'CHIRP Payment Calc'!AJ:AJ)</f>
        <v>1238496.1601578817</v>
      </c>
      <c r="N43" s="74">
        <f>SUMIF('CHIRP Payment Calc'!H:H,A43,'CHIRP Payment Calc'!AK:AK)</f>
        <v>406807.0537160263</v>
      </c>
      <c r="O43" s="72">
        <f t="shared" si="8"/>
        <v>1645303.2138739079</v>
      </c>
      <c r="P43" s="74">
        <f t="shared" si="9"/>
        <v>2778630.5065404</v>
      </c>
      <c r="Q43" s="76">
        <f>COUNTIF('CHIRP Payment Calc'!H:H,A43)</f>
        <v>5</v>
      </c>
    </row>
    <row r="44" spans="1:17">
      <c r="A44" s="71" t="s">
        <v>2501</v>
      </c>
      <c r="B44" s="72">
        <f>SUMIF('CHIRP Payment Calc'!H:H,A44,'CHIRP Payment Calc'!L:L)</f>
        <v>1307644.71</v>
      </c>
      <c r="C44" s="72">
        <f>SUMIF('CHIRP Payment Calc'!H:H,A44,'CHIRP Payment Calc'!M:M)</f>
        <v>634503.65</v>
      </c>
      <c r="D44" s="72">
        <f>SUMIF('CHIRP Payment Calc'!H:H,A44,'CHIRP Payment Calc'!N:N)</f>
        <v>1942148.3599999999</v>
      </c>
      <c r="E44" s="72">
        <f>SUMIF('CHIRP Payment Calc'!H:H,A44,'CHIRP Payment Calc'!I:I)</f>
        <v>3017807.1516747139</v>
      </c>
      <c r="F44" s="72">
        <f>SUMIF('CHIRP Payment Calc'!H:H,A44,'CHIRP Payment Calc'!J:J)</f>
        <v>6811149.9219930805</v>
      </c>
      <c r="G44" s="72">
        <f>SUMIF('CHIRP Payment Calc'!H:H,A44,'CHIRP Payment Calc'!K:K)</f>
        <v>9828957.0736677945</v>
      </c>
      <c r="H44" s="73">
        <f t="shared" si="5"/>
        <v>0.43</v>
      </c>
      <c r="I44" s="73">
        <f t="shared" si="6"/>
        <v>0.09</v>
      </c>
      <c r="J44" s="74">
        <f t="shared" si="10"/>
        <v>1297657.0752201269</v>
      </c>
      <c r="K44" s="74">
        <f t="shared" si="11"/>
        <v>613003.49297937728</v>
      </c>
      <c r="L44" s="74">
        <f t="shared" si="7"/>
        <v>1910660.5681995042</v>
      </c>
      <c r="M44" s="74">
        <f>SUMIF('CHIRP Payment Calc'!H:H,A44,'CHIRP Payment Calc'!AJ:AJ)</f>
        <v>0</v>
      </c>
      <c r="N44" s="74">
        <f>SUMIF('CHIRP Payment Calc'!H:H,A44,'CHIRP Payment Calc'!AK:AK)</f>
        <v>1094431.1452011983</v>
      </c>
      <c r="O44" s="72">
        <f t="shared" si="8"/>
        <v>1094431.1452011983</v>
      </c>
      <c r="P44" s="74">
        <f t="shared" si="9"/>
        <v>3005091.7134007025</v>
      </c>
      <c r="Q44" s="76">
        <f>COUNTIF('CHIRP Payment Calc'!H:H,A44)</f>
        <v>3</v>
      </c>
    </row>
    <row r="45" spans="1:17">
      <c r="A45" s="71" t="s">
        <v>2502</v>
      </c>
      <c r="B45" s="72">
        <f>SUMIF('CHIRP Payment Calc'!H:H,A45,'CHIRP Payment Calc'!L:L)</f>
        <v>4683245.12</v>
      </c>
      <c r="C45" s="72">
        <f>SUMIF('CHIRP Payment Calc'!H:H,A45,'CHIRP Payment Calc'!M:M)</f>
        <v>1707272.26</v>
      </c>
      <c r="D45" s="72">
        <f>SUMIF('CHIRP Payment Calc'!H:H,A45,'CHIRP Payment Calc'!N:N)</f>
        <v>6390517.3800000008</v>
      </c>
      <c r="E45" s="72">
        <f>SUMIF('CHIRP Payment Calc'!H:H,A45,'CHIRP Payment Calc'!I:I)</f>
        <v>9647506.4929361753</v>
      </c>
      <c r="F45" s="72">
        <f>SUMIF('CHIRP Payment Calc'!H:H,A45,'CHIRP Payment Calc'!J:J)</f>
        <v>9481585.1479171682</v>
      </c>
      <c r="G45" s="72">
        <f>SUMIF('CHIRP Payment Calc'!H:H,A45,'CHIRP Payment Calc'!K:K)</f>
        <v>19129091.640853345</v>
      </c>
      <c r="H45" s="73">
        <f t="shared" si="5"/>
        <v>0.49</v>
      </c>
      <c r="I45" s="73">
        <f t="shared" si="6"/>
        <v>0.18</v>
      </c>
      <c r="J45" s="74">
        <f t="shared" si="10"/>
        <v>4727278.1815387262</v>
      </c>
      <c r="K45" s="74">
        <f t="shared" si="11"/>
        <v>1706685.3266250903</v>
      </c>
      <c r="L45" s="74">
        <f t="shared" si="7"/>
        <v>6433963.5081638163</v>
      </c>
      <c r="M45" s="74">
        <f>SUMIF('CHIRP Payment Calc'!H:H,A45,'CHIRP Payment Calc'!AJ:AJ)</f>
        <v>0</v>
      </c>
      <c r="N45" s="74">
        <f>SUMIF('CHIRP Payment Calc'!H:H,A45,'CHIRP Payment Calc'!AK:AK)</f>
        <v>1341796.4790505278</v>
      </c>
      <c r="O45" s="72">
        <f t="shared" si="8"/>
        <v>1341796.4790505278</v>
      </c>
      <c r="P45" s="74">
        <f t="shared" si="9"/>
        <v>7775759.9872143436</v>
      </c>
      <c r="Q45" s="76">
        <f>COUNTIF('CHIRP Payment Calc'!H:H,A45)</f>
        <v>9</v>
      </c>
    </row>
    <row r="46" spans="1:17">
      <c r="A46" s="71" t="s">
        <v>2503</v>
      </c>
      <c r="B46" s="72">
        <f>SUMIF('CHIRP Payment Calc'!H:H,A46,'CHIRP Payment Calc'!L:L)</f>
        <v>1433512.03</v>
      </c>
      <c r="C46" s="72">
        <f>SUMIF('CHIRP Payment Calc'!H:H,A46,'CHIRP Payment Calc'!M:M)</f>
        <v>0</v>
      </c>
      <c r="D46" s="72">
        <f>SUMIF('CHIRP Payment Calc'!H:H,A46,'CHIRP Payment Calc'!N:N)</f>
        <v>1433512.03</v>
      </c>
      <c r="E46" s="72">
        <f>SUMIF('CHIRP Payment Calc'!H:H,A46,'CHIRP Payment Calc'!I:I)</f>
        <v>5084036.5912239179</v>
      </c>
      <c r="F46" s="72">
        <f>SUMIF('CHIRP Payment Calc'!H:H,A46,'CHIRP Payment Calc'!J:J)</f>
        <v>0</v>
      </c>
      <c r="G46" s="72">
        <f>SUMIF('CHIRP Payment Calc'!H:H,A46,'CHIRP Payment Calc'!K:K)</f>
        <v>5084036.5912239179</v>
      </c>
      <c r="H46" s="73">
        <f t="shared" si="5"/>
        <v>0.28000000000000003</v>
      </c>
      <c r="I46" s="73">
        <f t="shared" si="6"/>
        <v>0</v>
      </c>
      <c r="J46" s="74">
        <f t="shared" si="10"/>
        <v>1423530.2455426971</v>
      </c>
      <c r="K46" s="74">
        <f t="shared" si="11"/>
        <v>0</v>
      </c>
      <c r="L46" s="74">
        <f t="shared" si="7"/>
        <v>1423530.2455426971</v>
      </c>
      <c r="M46" s="74">
        <f>SUMIF('CHIRP Payment Calc'!H:H,A46,'CHIRP Payment Calc'!AJ:AJ)</f>
        <v>0</v>
      </c>
      <c r="N46" s="74">
        <f>SUMIF('CHIRP Payment Calc'!H:H,A46,'CHIRP Payment Calc'!AK:AK)</f>
        <v>0</v>
      </c>
      <c r="O46" s="72">
        <f t="shared" si="8"/>
        <v>0</v>
      </c>
      <c r="P46" s="74">
        <f t="shared" si="9"/>
        <v>1423530.2455426971</v>
      </c>
      <c r="Q46" s="76">
        <f>COUNTIF('CHIRP Payment Calc'!H:H,A46)</f>
        <v>6</v>
      </c>
    </row>
    <row r="47" spans="1:17">
      <c r="A47" s="71" t="s">
        <v>2504</v>
      </c>
      <c r="B47" s="72">
        <f>SUMIF('CHIRP Payment Calc'!H:H,A47,'CHIRP Payment Calc'!L:L)</f>
        <v>323863.51</v>
      </c>
      <c r="C47" s="72">
        <f>SUMIF('CHIRP Payment Calc'!H:H,A47,'CHIRP Payment Calc'!M:M)</f>
        <v>0</v>
      </c>
      <c r="D47" s="72">
        <f>SUMIF('CHIRP Payment Calc'!H:H,A47,'CHIRP Payment Calc'!N:N)</f>
        <v>323863.51</v>
      </c>
      <c r="E47" s="72">
        <f>SUMIF('CHIRP Payment Calc'!H:H,A47,'CHIRP Payment Calc'!I:I)</f>
        <v>2645779.3183898861</v>
      </c>
      <c r="F47" s="72">
        <f>SUMIF('CHIRP Payment Calc'!H:H,A47,'CHIRP Payment Calc'!J:J)</f>
        <v>0</v>
      </c>
      <c r="G47" s="72">
        <f>SUMIF('CHIRP Payment Calc'!H:H,A47,'CHIRP Payment Calc'!K:K)</f>
        <v>2645779.3183898861</v>
      </c>
      <c r="H47" s="73">
        <f t="shared" si="5"/>
        <v>0.12</v>
      </c>
      <c r="I47" s="73">
        <f t="shared" si="6"/>
        <v>0</v>
      </c>
      <c r="J47" s="74">
        <f t="shared" si="10"/>
        <v>317493.51820678631</v>
      </c>
      <c r="K47" s="74">
        <f t="shared" si="11"/>
        <v>0</v>
      </c>
      <c r="L47" s="74">
        <f t="shared" si="7"/>
        <v>317493.51820678631</v>
      </c>
      <c r="M47" s="74">
        <f>SUMIF('CHIRP Payment Calc'!H:H,A47,'CHIRP Payment Calc'!AJ:AJ)</f>
        <v>0</v>
      </c>
      <c r="N47" s="74">
        <f>SUMIF('CHIRP Payment Calc'!H:H,A47,'CHIRP Payment Calc'!AK:AK)</f>
        <v>0</v>
      </c>
      <c r="O47" s="72">
        <f t="shared" si="8"/>
        <v>0</v>
      </c>
      <c r="P47" s="74">
        <f t="shared" si="9"/>
        <v>317493.51820678631</v>
      </c>
      <c r="Q47" s="76">
        <f>COUNTIF('CHIRP Payment Calc'!H:H,A47)</f>
        <v>1</v>
      </c>
    </row>
    <row r="48" spans="1:17">
      <c r="A48" s="71" t="s">
        <v>2505</v>
      </c>
      <c r="B48" s="72">
        <f>SUMIF('CHIRP Payment Calc'!H:H,A48,'CHIRP Payment Calc'!L:L)</f>
        <v>1146972.3500000001</v>
      </c>
      <c r="C48" s="72">
        <f>SUMIF('CHIRP Payment Calc'!H:H,A48,'CHIRP Payment Calc'!M:M)</f>
        <v>1528929.28</v>
      </c>
      <c r="D48" s="72">
        <f>SUMIF('CHIRP Payment Calc'!H:H,A48,'CHIRP Payment Calc'!N:N)</f>
        <v>2675901.63</v>
      </c>
      <c r="E48" s="72">
        <f>SUMIF('CHIRP Payment Calc'!H:H,A48,'CHIRP Payment Calc'!I:I)</f>
        <v>12960343.885402938</v>
      </c>
      <c r="F48" s="72">
        <f>SUMIF('CHIRP Payment Calc'!H:H,A48,'CHIRP Payment Calc'!J:J)</f>
        <v>17061553.308852114</v>
      </c>
      <c r="G48" s="72">
        <f>SUMIF('CHIRP Payment Calc'!H:H,A48,'CHIRP Payment Calc'!K:K)</f>
        <v>30021897.194255054</v>
      </c>
      <c r="H48" s="73">
        <f t="shared" si="5"/>
        <v>0.09</v>
      </c>
      <c r="I48" s="73">
        <f t="shared" si="6"/>
        <v>0.09</v>
      </c>
      <c r="J48" s="74">
        <f t="shared" si="10"/>
        <v>1166430.9496862644</v>
      </c>
      <c r="K48" s="74">
        <f t="shared" si="11"/>
        <v>1535539.7977966901</v>
      </c>
      <c r="L48" s="74">
        <f t="shared" si="7"/>
        <v>2701970.7474829545</v>
      </c>
      <c r="M48" s="74">
        <f>SUMIF('CHIRP Payment Calc'!H:H,A48,'CHIRP Payment Calc'!AJ:AJ)</f>
        <v>1201774.0683453896</v>
      </c>
      <c r="N48" s="74">
        <f>SUMIF('CHIRP Payment Calc'!H:H,A48,'CHIRP Payment Calc'!AK:AK)</f>
        <v>4440425.7163900249</v>
      </c>
      <c r="O48" s="72">
        <f t="shared" si="8"/>
        <v>5642199.7847354142</v>
      </c>
      <c r="P48" s="74">
        <f t="shared" si="9"/>
        <v>8344170.5322183687</v>
      </c>
      <c r="Q48" s="76">
        <f>COUNTIF('CHIRP Payment Calc'!H:H,A48)</f>
        <v>24</v>
      </c>
    </row>
    <row r="49" spans="1:17">
      <c r="A49" s="71" t="s">
        <v>2506</v>
      </c>
      <c r="B49" s="72">
        <f>SUMIF('CHIRP Payment Calc'!H:H,A49,'CHIRP Payment Calc'!L:L)</f>
        <v>1282893.6100000001</v>
      </c>
      <c r="C49" s="72">
        <f>SUMIF('CHIRP Payment Calc'!H:H,A49,'CHIRP Payment Calc'!M:M)</f>
        <v>0</v>
      </c>
      <c r="D49" s="72">
        <f>SUMIF('CHIRP Payment Calc'!H:H,A49,'CHIRP Payment Calc'!N:N)</f>
        <v>1282893.6100000001</v>
      </c>
      <c r="E49" s="72">
        <f>SUMIF('CHIRP Payment Calc'!H:H,A49,'CHIRP Payment Calc'!I:I)</f>
        <v>2398852.0225756029</v>
      </c>
      <c r="F49" s="72">
        <f>SUMIF('CHIRP Payment Calc'!H:H,A49,'CHIRP Payment Calc'!J:J)</f>
        <v>0</v>
      </c>
      <c r="G49" s="72">
        <f>SUMIF('CHIRP Payment Calc'!H:H,A49,'CHIRP Payment Calc'!K:K)</f>
        <v>2398852.0225756029</v>
      </c>
      <c r="H49" s="73">
        <f t="shared" si="5"/>
        <v>0.53</v>
      </c>
      <c r="I49" s="73">
        <f t="shared" si="6"/>
        <v>0</v>
      </c>
      <c r="J49" s="74">
        <f t="shared" si="10"/>
        <v>1271391.5719650695</v>
      </c>
      <c r="K49" s="74">
        <f t="shared" si="11"/>
        <v>0</v>
      </c>
      <c r="L49" s="74">
        <f t="shared" si="7"/>
        <v>1271391.5719650695</v>
      </c>
      <c r="M49" s="74">
        <f>SUMIF('CHIRP Payment Calc'!H:H,A49,'CHIRP Payment Calc'!AJ:AJ)</f>
        <v>0</v>
      </c>
      <c r="N49" s="74">
        <f>SUMIF('CHIRP Payment Calc'!H:H,A49,'CHIRP Payment Calc'!AK:AK)</f>
        <v>0</v>
      </c>
      <c r="O49" s="72">
        <f t="shared" si="8"/>
        <v>0</v>
      </c>
      <c r="P49" s="74">
        <f t="shared" si="9"/>
        <v>1271391.5719650695</v>
      </c>
      <c r="Q49" s="76">
        <f>COUNTIF('CHIRP Payment Calc'!H:H,A49)</f>
        <v>2</v>
      </c>
    </row>
    <row r="50" spans="1:17">
      <c r="A50" s="71" t="s">
        <v>2507</v>
      </c>
      <c r="B50" s="72">
        <f>SUMIF('CHIRP Payment Calc'!H:H,A50,'CHIRP Payment Calc'!L:L)</f>
        <v>0</v>
      </c>
      <c r="C50" s="72">
        <f>SUMIF('CHIRP Payment Calc'!H:H,A50,'CHIRP Payment Calc'!M:M)</f>
        <v>0</v>
      </c>
      <c r="D50" s="72">
        <f>SUMIF('CHIRP Payment Calc'!H:H,A50,'CHIRP Payment Calc'!N:N)</f>
        <v>0</v>
      </c>
      <c r="E50" s="72">
        <f>SUMIF('CHIRP Payment Calc'!H:H,A50,'CHIRP Payment Calc'!I:I)</f>
        <v>0</v>
      </c>
      <c r="F50" s="72">
        <f>SUMIF('CHIRP Payment Calc'!H:H,A50,'CHIRP Payment Calc'!J:J)</f>
        <v>0</v>
      </c>
      <c r="G50" s="72">
        <f>SUMIF('CHIRP Payment Calc'!H:H,A50,'CHIRP Payment Calc'!K:K)</f>
        <v>0</v>
      </c>
      <c r="H50" s="73">
        <f t="shared" si="5"/>
        <v>0</v>
      </c>
      <c r="I50" s="73">
        <f t="shared" si="6"/>
        <v>0</v>
      </c>
      <c r="J50" s="74">
        <f t="shared" si="10"/>
        <v>0</v>
      </c>
      <c r="K50" s="74">
        <f t="shared" si="11"/>
        <v>0</v>
      </c>
      <c r="L50" s="74">
        <f t="shared" si="7"/>
        <v>0</v>
      </c>
      <c r="M50" s="74">
        <f>SUMIF('CHIRP Payment Calc'!H:H,A50,'CHIRP Payment Calc'!AJ:AJ)</f>
        <v>0</v>
      </c>
      <c r="N50" s="74">
        <f>SUMIF('CHIRP Payment Calc'!H:H,A50,'CHIRP Payment Calc'!AK:AK)</f>
        <v>0</v>
      </c>
      <c r="O50" s="72">
        <f t="shared" si="8"/>
        <v>0</v>
      </c>
      <c r="P50" s="74">
        <f t="shared" si="9"/>
        <v>0</v>
      </c>
      <c r="Q50" s="76">
        <f>COUNTIF('CHIRP Payment Calc'!H:H,A50)</f>
        <v>0</v>
      </c>
    </row>
    <row r="51" spans="1:17">
      <c r="A51" s="71" t="s">
        <v>2508</v>
      </c>
      <c r="B51" s="72">
        <f>SUMIF('CHIRP Payment Calc'!H:H,A51,'CHIRP Payment Calc'!L:L)</f>
        <v>932316.91999999993</v>
      </c>
      <c r="C51" s="72">
        <f>SUMIF('CHIRP Payment Calc'!H:H,A51,'CHIRP Payment Calc'!M:M)</f>
        <v>0</v>
      </c>
      <c r="D51" s="72">
        <f>SUMIF('CHIRP Payment Calc'!H:H,A51,'CHIRP Payment Calc'!N:N)</f>
        <v>932316.91999999993</v>
      </c>
      <c r="E51" s="72">
        <f>SUMIF('CHIRP Payment Calc'!H:H,A51,'CHIRP Payment Calc'!I:I)</f>
        <v>5560561.5835933127</v>
      </c>
      <c r="F51" s="72">
        <f>SUMIF('CHIRP Payment Calc'!H:H,A51,'CHIRP Payment Calc'!J:J)</f>
        <v>0</v>
      </c>
      <c r="G51" s="72">
        <f>SUMIF('CHIRP Payment Calc'!H:H,A51,'CHIRP Payment Calc'!K:K)</f>
        <v>5560561.5835933127</v>
      </c>
      <c r="H51" s="73">
        <f t="shared" si="5"/>
        <v>0.17</v>
      </c>
      <c r="I51" s="73">
        <f t="shared" si="6"/>
        <v>0</v>
      </c>
      <c r="J51" s="74">
        <f t="shared" si="10"/>
        <v>945295.46921086323</v>
      </c>
      <c r="K51" s="74">
        <f t="shared" si="11"/>
        <v>0</v>
      </c>
      <c r="L51" s="74">
        <f t="shared" si="7"/>
        <v>945295.46921086323</v>
      </c>
      <c r="M51" s="74">
        <f>SUMIF('CHIRP Payment Calc'!H:H,A51,'CHIRP Payment Calc'!AJ:AJ)</f>
        <v>0</v>
      </c>
      <c r="N51" s="74">
        <f>SUMIF('CHIRP Payment Calc'!H:H,A51,'CHIRP Payment Calc'!AK:AK)</f>
        <v>0</v>
      </c>
      <c r="O51" s="72">
        <f t="shared" si="8"/>
        <v>0</v>
      </c>
      <c r="P51" s="74">
        <f t="shared" si="9"/>
        <v>945295.46921086323</v>
      </c>
      <c r="Q51" s="76">
        <f>COUNTIF('CHIRP Payment Calc'!H:H,A51)</f>
        <v>4</v>
      </c>
    </row>
    <row r="52" spans="1:17">
      <c r="A52" s="71" t="s">
        <v>2509</v>
      </c>
      <c r="B52" s="72">
        <f>SUMIF('CHIRP Payment Calc'!H:H,A52,'CHIRP Payment Calc'!L:L)</f>
        <v>53210.38</v>
      </c>
      <c r="C52" s="72">
        <f>SUMIF('CHIRP Payment Calc'!H:H,A52,'CHIRP Payment Calc'!M:M)</f>
        <v>0</v>
      </c>
      <c r="D52" s="72">
        <f>SUMIF('CHIRP Payment Calc'!H:H,A52,'CHIRP Payment Calc'!N:N)</f>
        <v>53210.38</v>
      </c>
      <c r="E52" s="72">
        <f>SUMIF('CHIRP Payment Calc'!H:H,A52,'CHIRP Payment Calc'!I:I)</f>
        <v>282075.11969408276</v>
      </c>
      <c r="F52" s="72">
        <f>SUMIF('CHIRP Payment Calc'!H:H,A52,'CHIRP Payment Calc'!J:J)</f>
        <v>0</v>
      </c>
      <c r="G52" s="72">
        <f>SUMIF('CHIRP Payment Calc'!H:H,A52,'CHIRP Payment Calc'!K:K)</f>
        <v>282075.11969408276</v>
      </c>
      <c r="H52" s="73">
        <f t="shared" si="5"/>
        <v>0.19</v>
      </c>
      <c r="I52" s="73">
        <f t="shared" si="6"/>
        <v>0</v>
      </c>
      <c r="J52" s="74">
        <f t="shared" si="10"/>
        <v>53594.272741875728</v>
      </c>
      <c r="K52" s="74">
        <f t="shared" si="11"/>
        <v>0</v>
      </c>
      <c r="L52" s="74">
        <f t="shared" si="7"/>
        <v>53594.272741875728</v>
      </c>
      <c r="M52" s="74">
        <f>SUMIF('CHIRP Payment Calc'!H:H,A52,'CHIRP Payment Calc'!AJ:AJ)</f>
        <v>0</v>
      </c>
      <c r="N52" s="74">
        <f>SUMIF('CHIRP Payment Calc'!H:H,A52,'CHIRP Payment Calc'!AK:AK)</f>
        <v>0</v>
      </c>
      <c r="O52" s="72">
        <f t="shared" si="8"/>
        <v>0</v>
      </c>
      <c r="P52" s="74">
        <f t="shared" si="9"/>
        <v>53594.272741875728</v>
      </c>
      <c r="Q52" s="76">
        <f>COUNTIF('CHIRP Payment Calc'!H:H,A52)</f>
        <v>1</v>
      </c>
    </row>
    <row r="53" spans="1:17">
      <c r="A53" s="71" t="s">
        <v>2510</v>
      </c>
      <c r="B53" s="72">
        <f>SUMIF('CHIRP Payment Calc'!H:H,A53,'CHIRP Payment Calc'!L:L)</f>
        <v>350612</v>
      </c>
      <c r="C53" s="72">
        <f>SUMIF('CHIRP Payment Calc'!H:H,A53,'CHIRP Payment Calc'!M:M)</f>
        <v>0</v>
      </c>
      <c r="D53" s="72">
        <f>SUMIF('CHIRP Payment Calc'!H:H,A53,'CHIRP Payment Calc'!N:N)</f>
        <v>350612</v>
      </c>
      <c r="E53" s="72">
        <f>SUMIF('CHIRP Payment Calc'!H:H,A53,'CHIRP Payment Calc'!I:I)</f>
        <v>141965.57315246359</v>
      </c>
      <c r="F53" s="72">
        <f>SUMIF('CHIRP Payment Calc'!H:H,A53,'CHIRP Payment Calc'!J:J)</f>
        <v>0</v>
      </c>
      <c r="G53" s="72">
        <f>SUMIF('CHIRP Payment Calc'!H:H,A53,'CHIRP Payment Calc'!K:K)</f>
        <v>141965.57315246359</v>
      </c>
      <c r="H53" s="73">
        <f t="shared" si="5"/>
        <v>2.4700000000000002</v>
      </c>
      <c r="I53" s="73">
        <f t="shared" si="6"/>
        <v>0</v>
      </c>
      <c r="J53" s="74">
        <f t="shared" si="10"/>
        <v>350654.96568658511</v>
      </c>
      <c r="K53" s="74">
        <f t="shared" si="11"/>
        <v>0</v>
      </c>
      <c r="L53" s="74">
        <f t="shared" si="7"/>
        <v>350654.96568658511</v>
      </c>
      <c r="M53" s="74">
        <f>SUMIF('CHIRP Payment Calc'!H:H,A53,'CHIRP Payment Calc'!AJ:AJ)</f>
        <v>0</v>
      </c>
      <c r="N53" s="74">
        <f>SUMIF('CHIRP Payment Calc'!H:H,A53,'CHIRP Payment Calc'!AK:AK)</f>
        <v>0</v>
      </c>
      <c r="O53" s="72">
        <f t="shared" si="8"/>
        <v>0</v>
      </c>
      <c r="P53" s="74">
        <f t="shared" si="9"/>
        <v>350654.96568658511</v>
      </c>
      <c r="Q53" s="76">
        <f>COUNTIF('CHIRP Payment Calc'!H:H,A53)</f>
        <v>1</v>
      </c>
    </row>
    <row r="54" spans="1:17">
      <c r="A54" s="71" t="s">
        <v>2511</v>
      </c>
      <c r="B54" s="72">
        <f>SUMIF('CHIRP Payment Calc'!H:H,A54,'CHIRP Payment Calc'!L:L)</f>
        <v>1302672.6200000001</v>
      </c>
      <c r="C54" s="72">
        <f>SUMIF('CHIRP Payment Calc'!H:H,A54,'CHIRP Payment Calc'!M:M)</f>
        <v>0</v>
      </c>
      <c r="D54" s="72">
        <f>SUMIF('CHIRP Payment Calc'!H:H,A54,'CHIRP Payment Calc'!N:N)</f>
        <v>1302672.6200000001</v>
      </c>
      <c r="E54" s="72">
        <f>SUMIF('CHIRP Payment Calc'!H:H,A54,'CHIRP Payment Calc'!I:I)</f>
        <v>369415.19388908474</v>
      </c>
      <c r="F54" s="72">
        <f>SUMIF('CHIRP Payment Calc'!H:H,A54,'CHIRP Payment Calc'!J:J)</f>
        <v>0</v>
      </c>
      <c r="G54" s="72">
        <f>SUMIF('CHIRP Payment Calc'!H:H,A54,'CHIRP Payment Calc'!K:K)</f>
        <v>369415.19388908474</v>
      </c>
      <c r="H54" s="73">
        <f t="shared" si="5"/>
        <v>3.53</v>
      </c>
      <c r="I54" s="73">
        <f t="shared" si="6"/>
        <v>0</v>
      </c>
      <c r="J54" s="74">
        <f t="shared" si="10"/>
        <v>1304035.634428469</v>
      </c>
      <c r="K54" s="74">
        <f t="shared" si="11"/>
        <v>0</v>
      </c>
      <c r="L54" s="74">
        <f t="shared" si="7"/>
        <v>1304035.634428469</v>
      </c>
      <c r="M54" s="74">
        <f>SUMIF('CHIRP Payment Calc'!H:H,A54,'CHIRP Payment Calc'!AJ:AJ)</f>
        <v>0</v>
      </c>
      <c r="N54" s="74">
        <f>SUMIF('CHIRP Payment Calc'!H:H,A54,'CHIRP Payment Calc'!AK:AK)</f>
        <v>0</v>
      </c>
      <c r="O54" s="72">
        <f t="shared" si="8"/>
        <v>0</v>
      </c>
      <c r="P54" s="74">
        <f t="shared" si="9"/>
        <v>1304035.634428469</v>
      </c>
      <c r="Q54" s="76">
        <f>COUNTIF('CHIRP Payment Calc'!H:H,A54)</f>
        <v>1</v>
      </c>
    </row>
    <row r="55" spans="1:17">
      <c r="A55" s="71" t="s">
        <v>2512</v>
      </c>
      <c r="B55" s="72">
        <f>SUMIF('CHIRP Payment Calc'!H:H,A55,'CHIRP Payment Calc'!L:L)</f>
        <v>882.6</v>
      </c>
      <c r="C55" s="72">
        <f>SUMIF('CHIRP Payment Calc'!H:H,A55,'CHIRP Payment Calc'!M:M)</f>
        <v>0</v>
      </c>
      <c r="D55" s="72">
        <f>SUMIF('CHIRP Payment Calc'!H:H,A55,'CHIRP Payment Calc'!N:N)</f>
        <v>882.6</v>
      </c>
      <c r="E55" s="72">
        <f>SUMIF('CHIRP Payment Calc'!H:H,A55,'CHIRP Payment Calc'!I:I)</f>
        <v>6112.2186771548195</v>
      </c>
      <c r="F55" s="72">
        <f>SUMIF('CHIRP Payment Calc'!H:H,A55,'CHIRP Payment Calc'!J:J)</f>
        <v>0</v>
      </c>
      <c r="G55" s="72">
        <f>SUMIF('CHIRP Payment Calc'!H:H,A55,'CHIRP Payment Calc'!K:K)</f>
        <v>6112.2186771548195</v>
      </c>
      <c r="H55" s="73">
        <f t="shared" si="5"/>
        <v>0.14000000000000001</v>
      </c>
      <c r="I55" s="73">
        <f t="shared" si="6"/>
        <v>0</v>
      </c>
      <c r="J55" s="74">
        <f t="shared" si="10"/>
        <v>855.71061480167486</v>
      </c>
      <c r="K55" s="74">
        <f t="shared" si="11"/>
        <v>0</v>
      </c>
      <c r="L55" s="74">
        <f t="shared" si="7"/>
        <v>855.71061480167486</v>
      </c>
      <c r="M55" s="74">
        <f>SUMIF('CHIRP Payment Calc'!H:H,A55,'CHIRP Payment Calc'!AJ:AJ)</f>
        <v>0</v>
      </c>
      <c r="N55" s="74">
        <f>SUMIF('CHIRP Payment Calc'!H:H,A55,'CHIRP Payment Calc'!AK:AK)</f>
        <v>0</v>
      </c>
      <c r="O55" s="72">
        <f t="shared" si="8"/>
        <v>0</v>
      </c>
      <c r="P55" s="74">
        <f t="shared" si="9"/>
        <v>855.71061480167486</v>
      </c>
      <c r="Q55" s="76">
        <f>COUNTIF('CHIRP Payment Calc'!H:H,A55)</f>
        <v>1</v>
      </c>
    </row>
    <row r="56" spans="1:17">
      <c r="A56" s="71" t="s">
        <v>2513</v>
      </c>
      <c r="B56" s="72">
        <f>SUMIF('CHIRP Payment Calc'!H:H,A56,'CHIRP Payment Calc'!L:L)</f>
        <v>47146.92</v>
      </c>
      <c r="C56" s="72">
        <f>SUMIF('CHIRP Payment Calc'!H:H,A56,'CHIRP Payment Calc'!M:M)</f>
        <v>0</v>
      </c>
      <c r="D56" s="72">
        <f>SUMIF('CHIRP Payment Calc'!H:H,A56,'CHIRP Payment Calc'!N:N)</f>
        <v>47146.92</v>
      </c>
      <c r="E56" s="72">
        <f>SUMIF('CHIRP Payment Calc'!H:H,A56,'CHIRP Payment Calc'!I:I)</f>
        <v>129973.04160659014</v>
      </c>
      <c r="F56" s="72">
        <f>SUMIF('CHIRP Payment Calc'!H:H,A56,'CHIRP Payment Calc'!J:J)</f>
        <v>0</v>
      </c>
      <c r="G56" s="72">
        <f>SUMIF('CHIRP Payment Calc'!H:H,A56,'CHIRP Payment Calc'!K:K)</f>
        <v>129973.04160659014</v>
      </c>
      <c r="H56" s="73">
        <f t="shared" si="5"/>
        <v>0.36</v>
      </c>
      <c r="I56" s="73">
        <f t="shared" si="6"/>
        <v>0</v>
      </c>
      <c r="J56" s="74">
        <f t="shared" si="10"/>
        <v>46790.294978372447</v>
      </c>
      <c r="K56" s="74">
        <f t="shared" si="11"/>
        <v>0</v>
      </c>
      <c r="L56" s="74">
        <f t="shared" si="7"/>
        <v>46790.294978372447</v>
      </c>
      <c r="M56" s="74">
        <f>SUMIF('CHIRP Payment Calc'!H:H,A56,'CHIRP Payment Calc'!AJ:AJ)</f>
        <v>0</v>
      </c>
      <c r="N56" s="74">
        <f>SUMIF('CHIRP Payment Calc'!H:H,A56,'CHIRP Payment Calc'!AK:AK)</f>
        <v>0</v>
      </c>
      <c r="O56" s="72">
        <f t="shared" si="8"/>
        <v>0</v>
      </c>
      <c r="P56" s="74">
        <f t="shared" si="9"/>
        <v>46790.294978372447</v>
      </c>
      <c r="Q56" s="76">
        <f>COUNTIF('CHIRP Payment Calc'!H:H,A56)</f>
        <v>1</v>
      </c>
    </row>
    <row r="57" spans="1:17">
      <c r="A57" s="71" t="s">
        <v>2514</v>
      </c>
      <c r="B57" s="72">
        <f>SUMIF('CHIRP Payment Calc'!H:H,A57,'CHIRP Payment Calc'!L:L)</f>
        <v>192568.44</v>
      </c>
      <c r="C57" s="72">
        <f>SUMIF('CHIRP Payment Calc'!H:H,A57,'CHIRP Payment Calc'!M:M)</f>
        <v>0</v>
      </c>
      <c r="D57" s="72">
        <f>SUMIF('CHIRP Payment Calc'!H:H,A57,'CHIRP Payment Calc'!N:N)</f>
        <v>192568.44</v>
      </c>
      <c r="E57" s="72">
        <f>SUMIF('CHIRP Payment Calc'!H:H,A57,'CHIRP Payment Calc'!I:I)</f>
        <v>0</v>
      </c>
      <c r="F57" s="72">
        <f>SUMIF('CHIRP Payment Calc'!H:H,A57,'CHIRP Payment Calc'!J:J)</f>
        <v>0</v>
      </c>
      <c r="G57" s="72">
        <f>SUMIF('CHIRP Payment Calc'!H:H,A57,'CHIRP Payment Calc'!K:K)</f>
        <v>0</v>
      </c>
      <c r="H57" s="73">
        <f t="shared" si="5"/>
        <v>0</v>
      </c>
      <c r="I57" s="73">
        <f t="shared" si="6"/>
        <v>0</v>
      </c>
      <c r="J57" s="74">
        <f t="shared" si="10"/>
        <v>0</v>
      </c>
      <c r="K57" s="74">
        <f t="shared" si="11"/>
        <v>0</v>
      </c>
      <c r="L57" s="74">
        <f t="shared" si="7"/>
        <v>0</v>
      </c>
      <c r="M57" s="74">
        <f>SUMIF('CHIRP Payment Calc'!H:H,A57,'CHIRP Payment Calc'!AJ:AJ)</f>
        <v>0</v>
      </c>
      <c r="N57" s="74">
        <f>SUMIF('CHIRP Payment Calc'!H:H,A57,'CHIRP Payment Calc'!AK:AK)</f>
        <v>0</v>
      </c>
      <c r="O57" s="72">
        <f t="shared" si="8"/>
        <v>0</v>
      </c>
      <c r="P57" s="74">
        <f t="shared" si="9"/>
        <v>0</v>
      </c>
      <c r="Q57" s="76">
        <f>COUNTIF('CHIRP Payment Calc'!H:H,A57)</f>
        <v>1</v>
      </c>
    </row>
    <row r="58" spans="1:17">
      <c r="A58" s="71" t="s">
        <v>2515</v>
      </c>
      <c r="B58" s="72">
        <f>SUMIF('CHIRP Payment Calc'!H:H,A58,'CHIRP Payment Calc'!L:L)</f>
        <v>1361.6</v>
      </c>
      <c r="C58" s="72">
        <f>SUMIF('CHIRP Payment Calc'!H:H,A58,'CHIRP Payment Calc'!M:M)</f>
        <v>0</v>
      </c>
      <c r="D58" s="72">
        <f>SUMIF('CHIRP Payment Calc'!H:H,A58,'CHIRP Payment Calc'!N:N)</f>
        <v>1361.6</v>
      </c>
      <c r="E58" s="72">
        <f>SUMIF('CHIRP Payment Calc'!H:H,A58,'CHIRP Payment Calc'!I:I)</f>
        <v>5273.7962239365661</v>
      </c>
      <c r="F58" s="72">
        <f>SUMIF('CHIRP Payment Calc'!H:H,A58,'CHIRP Payment Calc'!J:J)</f>
        <v>0</v>
      </c>
      <c r="G58" s="72">
        <f>SUMIF('CHIRP Payment Calc'!H:H,A58,'CHIRP Payment Calc'!K:K)</f>
        <v>5273.7962239365661</v>
      </c>
      <c r="H58" s="73">
        <f t="shared" si="5"/>
        <v>0.26</v>
      </c>
      <c r="I58" s="73">
        <f t="shared" si="6"/>
        <v>0</v>
      </c>
      <c r="J58" s="74">
        <f>+H58*E58</f>
        <v>1371.1870182235073</v>
      </c>
      <c r="K58" s="74">
        <f t="shared" si="11"/>
        <v>0</v>
      </c>
      <c r="L58" s="74">
        <f t="shared" si="7"/>
        <v>1371.1870182235073</v>
      </c>
      <c r="M58" s="74">
        <f>SUMIF('CHIRP Payment Calc'!H:H,A58,'CHIRP Payment Calc'!AJ:AJ)</f>
        <v>0</v>
      </c>
      <c r="N58" s="74">
        <f>SUMIF('CHIRP Payment Calc'!H:H,A58,'CHIRP Payment Calc'!AK:AK)</f>
        <v>0</v>
      </c>
      <c r="O58" s="72">
        <f t="shared" si="8"/>
        <v>0</v>
      </c>
      <c r="P58" s="74">
        <f t="shared" si="9"/>
        <v>1371.1870182235073</v>
      </c>
      <c r="Q58" s="76">
        <f>COUNTIF('CHIRP Payment Calc'!H:H,A58)</f>
        <v>1</v>
      </c>
    </row>
    <row r="59" spans="1:17">
      <c r="A59" s="71" t="s">
        <v>2516</v>
      </c>
      <c r="B59" s="72">
        <f>SUMIF('CHIRP Payment Calc'!H:H,A59,'CHIRP Payment Calc'!L:L)</f>
        <v>0</v>
      </c>
      <c r="C59" s="72">
        <f>SUMIF('CHIRP Payment Calc'!H:H,A59,'CHIRP Payment Calc'!M:M)</f>
        <v>0</v>
      </c>
      <c r="D59" s="72">
        <f>SUMIF('CHIRP Payment Calc'!H:H,A59,'CHIRP Payment Calc'!N:N)</f>
        <v>0</v>
      </c>
      <c r="E59" s="72">
        <f>SUMIF('CHIRP Payment Calc'!H:H,A59,'CHIRP Payment Calc'!I:I)</f>
        <v>0</v>
      </c>
      <c r="F59" s="72">
        <f>SUMIF('CHIRP Payment Calc'!H:H,A59,'CHIRP Payment Calc'!J:J)</f>
        <v>0</v>
      </c>
      <c r="G59" s="72">
        <f>SUMIF('CHIRP Payment Calc'!H:H,A59,'CHIRP Payment Calc'!K:K)</f>
        <v>0</v>
      </c>
      <c r="H59" s="73">
        <f t="shared" si="5"/>
        <v>0</v>
      </c>
      <c r="I59" s="73">
        <f t="shared" si="6"/>
        <v>0</v>
      </c>
      <c r="J59" s="74">
        <f t="shared" si="10"/>
        <v>0</v>
      </c>
      <c r="K59" s="74">
        <f t="shared" si="11"/>
        <v>0</v>
      </c>
      <c r="L59" s="74">
        <f t="shared" si="7"/>
        <v>0</v>
      </c>
      <c r="M59" s="74">
        <f>SUMIF('CHIRP Payment Calc'!H:H,A59,'CHIRP Payment Calc'!AJ:AJ)</f>
        <v>0</v>
      </c>
      <c r="N59" s="74">
        <f>SUMIF('CHIRP Payment Calc'!H:H,A59,'CHIRP Payment Calc'!AK:AK)</f>
        <v>0</v>
      </c>
      <c r="O59" s="72">
        <f t="shared" si="8"/>
        <v>0</v>
      </c>
      <c r="P59" s="74">
        <f t="shared" si="9"/>
        <v>0</v>
      </c>
      <c r="Q59" s="76">
        <f>COUNTIF('CHIRP Payment Calc'!H:H,A59)</f>
        <v>1</v>
      </c>
    </row>
    <row r="60" spans="1:17">
      <c r="A60" s="71" t="s">
        <v>2517</v>
      </c>
      <c r="B60" s="72">
        <f>SUMIF('CHIRP Payment Calc'!H:H,A60,'CHIRP Payment Calc'!L:L)</f>
        <v>0</v>
      </c>
      <c r="C60" s="72">
        <f>SUMIF('CHIRP Payment Calc'!H:H,A60,'CHIRP Payment Calc'!M:M)</f>
        <v>0</v>
      </c>
      <c r="D60" s="72">
        <f>SUMIF('CHIRP Payment Calc'!H:H,A60,'CHIRP Payment Calc'!N:N)</f>
        <v>0</v>
      </c>
      <c r="E60" s="72">
        <f>SUMIF('CHIRP Payment Calc'!H:H,A60,'CHIRP Payment Calc'!I:I)</f>
        <v>0</v>
      </c>
      <c r="F60" s="72">
        <f>SUMIF('CHIRP Payment Calc'!H:H,A60,'CHIRP Payment Calc'!J:J)</f>
        <v>0</v>
      </c>
      <c r="G60" s="72">
        <f>SUMIF('CHIRP Payment Calc'!H:H,A60,'CHIRP Payment Calc'!K:K)</f>
        <v>0</v>
      </c>
      <c r="H60" s="73">
        <f t="shared" si="5"/>
        <v>0</v>
      </c>
      <c r="I60" s="73">
        <f t="shared" si="6"/>
        <v>0</v>
      </c>
      <c r="J60" s="74">
        <f t="shared" si="10"/>
        <v>0</v>
      </c>
      <c r="K60" s="74">
        <f t="shared" si="11"/>
        <v>0</v>
      </c>
      <c r="L60" s="74">
        <f t="shared" si="7"/>
        <v>0</v>
      </c>
      <c r="M60" s="74">
        <f>SUMIF('CHIRP Payment Calc'!H:H,A60,'CHIRP Payment Calc'!AJ:AJ)</f>
        <v>0</v>
      </c>
      <c r="N60" s="74">
        <f>SUMIF('CHIRP Payment Calc'!H:H,A60,'CHIRP Payment Calc'!AK:AK)</f>
        <v>0</v>
      </c>
      <c r="O60" s="72">
        <f t="shared" si="8"/>
        <v>0</v>
      </c>
      <c r="P60" s="74">
        <f t="shared" si="9"/>
        <v>0</v>
      </c>
      <c r="Q60" s="76">
        <f>COUNTIF('CHIRP Payment Calc'!H:H,A60)</f>
        <v>1</v>
      </c>
    </row>
    <row r="61" spans="1:17" ht="15.75" thickBot="1">
      <c r="A61" s="25" t="s">
        <v>2518</v>
      </c>
      <c r="B61" s="77">
        <f>SUMIF('CHIRP Payment Calc'!H:H,A61,'CHIRP Payment Calc'!L:L)</f>
        <v>0</v>
      </c>
      <c r="C61" s="77">
        <f>SUMIF('CHIRP Payment Calc'!H:H,A61,'CHIRP Payment Calc'!M:M)</f>
        <v>0</v>
      </c>
      <c r="D61" s="77">
        <f>SUMIF('CHIRP Payment Calc'!H:H,A61,'CHIRP Payment Calc'!N:N)</f>
        <v>0</v>
      </c>
      <c r="E61" s="72">
        <f>SUMIF('CHIRP Payment Calc'!H:H,A61,'CHIRP Payment Calc'!I:I)</f>
        <v>0</v>
      </c>
      <c r="F61" s="77">
        <f>SUMIF('CHIRP Payment Calc'!H:H,A61,'CHIRP Payment Calc'!J:J)</f>
        <v>0</v>
      </c>
      <c r="G61" s="77">
        <f>SUMIF('CHIRP Payment Calc'!H:H,A61,'CHIRP Payment Calc'!K:K)</f>
        <v>0</v>
      </c>
      <c r="H61" s="99">
        <f t="shared" si="5"/>
        <v>0</v>
      </c>
      <c r="I61" s="99">
        <f t="shared" si="6"/>
        <v>0</v>
      </c>
      <c r="J61" s="123">
        <f t="shared" si="10"/>
        <v>0</v>
      </c>
      <c r="K61" s="123">
        <f t="shared" si="11"/>
        <v>0</v>
      </c>
      <c r="L61" s="123">
        <f t="shared" si="7"/>
        <v>0</v>
      </c>
      <c r="M61" s="123">
        <f>SUMIF('CHIRP Payment Calc'!H:H,A61,'CHIRP Payment Calc'!AJ:AJ)</f>
        <v>0</v>
      </c>
      <c r="N61" s="123">
        <f>SUMIF('CHIRP Payment Calc'!H:H,A61,'CHIRP Payment Calc'!AK:AK)</f>
        <v>0</v>
      </c>
      <c r="O61" s="77">
        <f t="shared" si="8"/>
        <v>0</v>
      </c>
      <c r="P61" s="123">
        <f t="shared" si="9"/>
        <v>0</v>
      </c>
      <c r="Q61" s="78">
        <f>COUNTIF('CHIRP Payment Calc'!H:H,A61)</f>
        <v>0</v>
      </c>
    </row>
    <row r="62" spans="1:17">
      <c r="J62" s="10"/>
      <c r="K62" s="10"/>
      <c r="L62" s="10"/>
      <c r="M62" s="10"/>
      <c r="N62" s="10"/>
      <c r="O62" s="8"/>
      <c r="P62" s="10"/>
    </row>
    <row r="63" spans="1:17">
      <c r="J63" s="10"/>
      <c r="K63" s="10"/>
      <c r="L63" s="10"/>
      <c r="M63" s="10"/>
      <c r="N63" s="10"/>
      <c r="O63" s="8"/>
      <c r="P63" s="10"/>
    </row>
    <row r="64" spans="1:17">
      <c r="H64" s="115"/>
      <c r="J64" s="10"/>
      <c r="K64" s="10"/>
      <c r="L64" s="10"/>
      <c r="M64" s="10"/>
      <c r="N64" s="10"/>
      <c r="O64" s="8"/>
      <c r="P64" s="10"/>
    </row>
    <row r="65" spans="10:16">
      <c r="J65" s="10"/>
      <c r="K65" s="10"/>
      <c r="L65" s="10"/>
      <c r="M65" s="10"/>
      <c r="N65" s="10"/>
      <c r="O65" s="8"/>
      <c r="P65" s="10"/>
    </row>
    <row r="66" spans="10:16">
      <c r="J66" s="10"/>
      <c r="K66" s="10"/>
      <c r="L66" s="10"/>
      <c r="M66" s="10"/>
      <c r="N66" s="10"/>
      <c r="O66" s="8"/>
      <c r="P66" s="10"/>
    </row>
    <row r="67" spans="10:16">
      <c r="J67" s="10"/>
      <c r="K67" s="10"/>
      <c r="L67" s="10"/>
      <c r="M67" s="10"/>
      <c r="N67" s="10"/>
      <c r="O67" s="8"/>
      <c r="P67" s="10"/>
    </row>
    <row r="68" spans="10:16">
      <c r="J68" s="10"/>
      <c r="K68" s="10"/>
      <c r="L68" s="10"/>
      <c r="M68" s="10"/>
      <c r="N68" s="10"/>
      <c r="O68" s="8"/>
      <c r="P68" s="10"/>
    </row>
  </sheetData>
  <autoFilter ref="A4:Q61" xr:uid="{71FEA94A-946B-4ED7-AEE6-A3193014123A}"/>
  <pageMargins left="0.7" right="0.7" top="0.75" bottom="0.75" header="0.3" footer="0.3"/>
  <pageSetup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26E11-CE10-4728-B6D9-EFBCCE6243BC}">
  <sheetPr>
    <tabColor rgb="FF7030A0"/>
    <pageSetUpPr fitToPage="1"/>
  </sheetPr>
  <dimension ref="A1:AS412"/>
  <sheetViews>
    <sheetView topLeftCell="AG1" workbookViewId="0">
      <selection activeCell="AQ11" sqref="AQ11"/>
    </sheetView>
  </sheetViews>
  <sheetFormatPr defaultColWidth="8.796875" defaultRowHeight="15"/>
  <cols>
    <col min="1" max="1" width="10.09765625" style="36" bestFit="1" customWidth="1"/>
    <col min="2" max="2" width="10.8984375" style="36" customWidth="1"/>
    <col min="3" max="3" width="11.3984375" style="36" customWidth="1"/>
    <col min="4" max="4" width="11.8984375" style="35" customWidth="1"/>
    <col min="5" max="5" width="49.19921875" style="35" customWidth="1"/>
    <col min="6" max="7" width="11.8984375" style="35" customWidth="1"/>
    <col min="8" max="8" width="17.3984375" style="37" customWidth="1"/>
    <col min="9" max="9" width="14.3984375" style="38" customWidth="1"/>
    <col min="10" max="10" width="12.3984375" style="38" customWidth="1"/>
    <col min="11" max="11" width="13.796875" style="38" customWidth="1"/>
    <col min="12" max="12" width="15.5" style="39" customWidth="1"/>
    <col min="13" max="13" width="13.59765625" style="39" customWidth="1"/>
    <col min="14" max="14" width="14.8984375" style="39" customWidth="1"/>
    <col min="15" max="15" width="15" style="39" customWidth="1"/>
    <col min="16" max="17" width="14.3984375" style="39" customWidth="1"/>
    <col min="18" max="21" width="16.3984375" style="39" customWidth="1"/>
    <col min="22" max="23" width="13.59765625" style="41" customWidth="1"/>
    <col min="24" max="25" width="15.59765625" style="40" customWidth="1"/>
    <col min="26" max="35" width="13.59765625" style="41" customWidth="1"/>
    <col min="36" max="36" width="16.09765625" style="41" customWidth="1"/>
    <col min="37" max="45" width="13.59765625" style="41" customWidth="1"/>
    <col min="46" max="16384" width="8.796875" style="36"/>
  </cols>
  <sheetData>
    <row r="1" spans="1:45" ht="19.5">
      <c r="A1" s="30" t="s">
        <v>2963</v>
      </c>
      <c r="O1" s="38"/>
      <c r="P1" s="38"/>
      <c r="AP1" s="102"/>
      <c r="AQ1" s="41" t="s">
        <v>2709</v>
      </c>
    </row>
    <row r="2" spans="1:45" ht="19.5">
      <c r="A2" s="30"/>
      <c r="O2" s="38"/>
      <c r="P2" s="38"/>
      <c r="AP2" s="102"/>
    </row>
    <row r="3" spans="1:45" ht="77.25" thickBot="1">
      <c r="A3" s="117" t="s">
        <v>2770</v>
      </c>
      <c r="B3" s="117" t="s">
        <v>2771</v>
      </c>
      <c r="C3" s="117" t="s">
        <v>2771</v>
      </c>
      <c r="D3" s="117" t="s">
        <v>2771</v>
      </c>
      <c r="E3" s="117" t="s">
        <v>2771</v>
      </c>
      <c r="F3" s="35" t="s">
        <v>2772</v>
      </c>
      <c r="G3" s="35" t="s">
        <v>2772</v>
      </c>
      <c r="I3" s="35" t="s">
        <v>2773</v>
      </c>
      <c r="J3" s="35" t="s">
        <v>2773</v>
      </c>
      <c r="L3" s="35" t="s">
        <v>2774</v>
      </c>
      <c r="M3" s="35" t="s">
        <v>2775</v>
      </c>
      <c r="O3" s="35" t="s">
        <v>2777</v>
      </c>
      <c r="P3" s="35" t="s">
        <v>2778</v>
      </c>
      <c r="R3" s="85" t="s">
        <v>2710</v>
      </c>
      <c r="S3" s="85"/>
      <c r="AI3" s="41" t="s">
        <v>2757</v>
      </c>
      <c r="AJ3" s="110">
        <f>AE4-AJ4</f>
        <v>171128159.22212005</v>
      </c>
      <c r="AK3" s="110">
        <f>AF4-AK4</f>
        <v>47126965.488869905</v>
      </c>
      <c r="AQ3" s="84">
        <v>0.39539999999999997</v>
      </c>
      <c r="AR3" s="84"/>
      <c r="AS3" s="84"/>
    </row>
    <row r="4" spans="1:45" s="42" customFormat="1" ht="15.75" thickBot="1">
      <c r="A4" s="32" t="s">
        <v>2404</v>
      </c>
      <c r="B4" s="54"/>
      <c r="C4" s="54"/>
      <c r="D4" s="33"/>
      <c r="E4" s="33"/>
      <c r="F4" s="121"/>
      <c r="G4" s="121"/>
      <c r="H4" s="55"/>
      <c r="I4" s="56">
        <f t="shared" ref="I4:Q4" si="0">SUM(I6:I412)</f>
        <v>3404974339.9727263</v>
      </c>
      <c r="J4" s="56">
        <f t="shared" si="0"/>
        <v>2095813359.5135443</v>
      </c>
      <c r="K4" s="56">
        <f t="shared" si="0"/>
        <v>5500787699.48627</v>
      </c>
      <c r="L4" s="56">
        <f t="shared" si="0"/>
        <v>2199918194.1099987</v>
      </c>
      <c r="M4" s="56">
        <f t="shared" si="0"/>
        <v>590777520.55000007</v>
      </c>
      <c r="N4" s="56">
        <f t="shared" si="0"/>
        <v>2790695714.6600013</v>
      </c>
      <c r="O4" s="56">
        <f t="shared" si="0"/>
        <v>4278262373.0583329</v>
      </c>
      <c r="P4" s="56">
        <f t="shared" si="0"/>
        <v>1479410743.6903961</v>
      </c>
      <c r="Q4" s="56">
        <f t="shared" si="0"/>
        <v>5757673116.7487268</v>
      </c>
      <c r="R4" s="57">
        <v>0.69664000000000004</v>
      </c>
      <c r="S4" s="57"/>
      <c r="T4" s="57"/>
      <c r="U4" s="57"/>
      <c r="V4" s="56">
        <f>SUM(V6:V412)</f>
        <v>2264063567.6615491</v>
      </c>
      <c r="W4" s="56">
        <f>SUM(W6:W412)</f>
        <v>627674532.09607589</v>
      </c>
      <c r="X4" s="56">
        <f>SUM(X6:X412)</f>
        <v>2891738099.7576256</v>
      </c>
      <c r="Y4" s="56"/>
      <c r="Z4" s="56"/>
      <c r="AA4" s="56"/>
      <c r="AB4" s="56"/>
      <c r="AC4" s="56"/>
      <c r="AD4" s="56"/>
      <c r="AE4" s="56">
        <f>SUM(AE6:AE412)</f>
        <v>1627668878.2553523</v>
      </c>
      <c r="AF4" s="56">
        <f>SUM(AF6:AF412)</f>
        <v>621486898.90602005</v>
      </c>
      <c r="AG4" s="56">
        <f>SUM(AG6:AG412)</f>
        <v>2249155777.1613722</v>
      </c>
      <c r="AH4" s="56"/>
      <c r="AI4" s="56"/>
      <c r="AJ4" s="56">
        <f>SUM(AJ6:AJ412)</f>
        <v>1456540719.0332322</v>
      </c>
      <c r="AK4" s="56">
        <f>SUM(AK6:AK412)</f>
        <v>574359933.41715014</v>
      </c>
      <c r="AL4" s="56"/>
      <c r="AM4" s="56"/>
      <c r="AN4" s="94">
        <f t="shared" ref="AN4:AS4" si="1">SUM(AN6:AN412)</f>
        <v>4922638752.2080107</v>
      </c>
      <c r="AO4" s="94">
        <f t="shared" si="1"/>
        <v>303185466.93634689</v>
      </c>
      <c r="AP4" s="101">
        <f t="shared" si="1"/>
        <v>5225824219.1443548</v>
      </c>
      <c r="AQ4" s="56">
        <f t="shared" si="1"/>
        <v>2231594167.9496508</v>
      </c>
      <c r="AR4" s="56">
        <f t="shared" si="1"/>
        <v>1115797083.9748254</v>
      </c>
      <c r="AS4" s="56">
        <f t="shared" si="1"/>
        <v>1115797083.9748254</v>
      </c>
    </row>
    <row r="5" spans="1:45" ht="56.25">
      <c r="A5" s="49" t="s">
        <v>2350</v>
      </c>
      <c r="B5" s="50" t="s">
        <v>2411</v>
      </c>
      <c r="C5" s="50" t="s">
        <v>1755</v>
      </c>
      <c r="D5" s="50" t="s">
        <v>1</v>
      </c>
      <c r="E5" s="50" t="s">
        <v>2</v>
      </c>
      <c r="F5" s="122" t="s">
        <v>2545</v>
      </c>
      <c r="G5" s="122" t="s">
        <v>3</v>
      </c>
      <c r="H5" s="116" t="s">
        <v>2385</v>
      </c>
      <c r="I5" s="50" t="s">
        <v>3014</v>
      </c>
      <c r="J5" s="50" t="s">
        <v>3015</v>
      </c>
      <c r="K5" s="116" t="s">
        <v>3016</v>
      </c>
      <c r="L5" s="52" t="s">
        <v>2961</v>
      </c>
      <c r="M5" s="52" t="s">
        <v>2962</v>
      </c>
      <c r="N5" s="118" t="s">
        <v>2387</v>
      </c>
      <c r="O5" s="53" t="s">
        <v>2331</v>
      </c>
      <c r="P5" s="53" t="s">
        <v>2333</v>
      </c>
      <c r="Q5" s="118" t="s">
        <v>2406</v>
      </c>
      <c r="R5" s="118" t="s">
        <v>2723</v>
      </c>
      <c r="S5" s="118" t="s">
        <v>2724</v>
      </c>
      <c r="T5" s="118" t="s">
        <v>2706</v>
      </c>
      <c r="U5" s="118" t="s">
        <v>2707</v>
      </c>
      <c r="V5" s="118" t="s">
        <v>2522</v>
      </c>
      <c r="W5" s="118" t="s">
        <v>2523</v>
      </c>
      <c r="X5" s="118" t="s">
        <v>2524</v>
      </c>
      <c r="Y5" s="80" t="s">
        <v>2751</v>
      </c>
      <c r="Z5" s="118" t="s">
        <v>2729</v>
      </c>
      <c r="AA5" s="118" t="s">
        <v>2731</v>
      </c>
      <c r="AB5" s="118" t="s">
        <v>2732</v>
      </c>
      <c r="AC5" s="118" t="s">
        <v>2704</v>
      </c>
      <c r="AD5" s="118" t="s">
        <v>2705</v>
      </c>
      <c r="AE5" s="80" t="s">
        <v>2768</v>
      </c>
      <c r="AF5" s="80" t="s">
        <v>2769</v>
      </c>
      <c r="AG5" s="80" t="s">
        <v>2708</v>
      </c>
      <c r="AH5" s="109" t="s">
        <v>2761</v>
      </c>
      <c r="AI5" s="109" t="s">
        <v>2762</v>
      </c>
      <c r="AJ5" s="109" t="s">
        <v>2763</v>
      </c>
      <c r="AK5" s="109" t="s">
        <v>2764</v>
      </c>
      <c r="AL5" s="80" t="s">
        <v>2726</v>
      </c>
      <c r="AM5" s="80" t="s">
        <v>2727</v>
      </c>
      <c r="AN5" s="80" t="s">
        <v>2735</v>
      </c>
      <c r="AO5" s="80" t="s">
        <v>2744</v>
      </c>
      <c r="AP5" s="80" t="s">
        <v>2745</v>
      </c>
      <c r="AQ5" s="51" t="s">
        <v>2713</v>
      </c>
      <c r="AR5" s="51" t="s">
        <v>2714</v>
      </c>
      <c r="AS5" s="51" t="s">
        <v>2715</v>
      </c>
    </row>
    <row r="6" spans="1:45">
      <c r="A6" s="104" t="s">
        <v>462</v>
      </c>
      <c r="B6" s="31" t="s">
        <v>462</v>
      </c>
      <c r="C6" s="31" t="s">
        <v>463</v>
      </c>
      <c r="D6" s="43" t="s">
        <v>463</v>
      </c>
      <c r="E6" s="119" t="s">
        <v>2390</v>
      </c>
      <c r="F6" s="44" t="s">
        <v>2279</v>
      </c>
      <c r="G6" s="43" t="s">
        <v>227</v>
      </c>
      <c r="H6" s="43" t="str">
        <f t="shared" ref="H6:H69" si="2">CONCATENATE(F6," ",G6)</f>
        <v>Urban MRSA West</v>
      </c>
      <c r="I6" s="45">
        <f>INDEX('Fee Calc'!M:M,MATCH(C:C,'Fee Calc'!F:F,0))</f>
        <v>14242328.623236261</v>
      </c>
      <c r="J6" s="45">
        <f>INDEX('Fee Calc'!L:L,MATCH(C:C,'Fee Calc'!F:F,0))</f>
        <v>5634160.5728314836</v>
      </c>
      <c r="K6" s="45">
        <f t="shared" ref="K6:K69" si="3">I6+J6</f>
        <v>19876489.196067743</v>
      </c>
      <c r="L6" s="45">
        <v>7537281.8399999999</v>
      </c>
      <c r="M6" s="45">
        <v>7950971.2400000002</v>
      </c>
      <c r="N6" s="45">
        <f t="shared" ref="N6:N69" si="4">+L6+M6</f>
        <v>15488253.08</v>
      </c>
      <c r="O6" s="45">
        <v>26945864.818772368</v>
      </c>
      <c r="P6" s="45">
        <v>16029264.520917319</v>
      </c>
      <c r="Q6" s="45">
        <f t="shared" ref="Q6:Q69" si="5">O6+P6</f>
        <v>42975129.339689687</v>
      </c>
      <c r="R6" s="45" t="str">
        <f t="shared" ref="R6:R69" si="6">IF(O6&gt;0,"Yes","No")</f>
        <v>Yes</v>
      </c>
      <c r="S6" s="46" t="str">
        <f t="shared" ref="S6:S69" si="7">IF(P6&gt;0,"Yes","No")</f>
        <v>Yes</v>
      </c>
      <c r="T6" s="47">
        <f>ROUND(INDEX(Summary!H:H,MATCH(H:H,Summary!A:A,0)),2)</f>
        <v>0.28999999999999998</v>
      </c>
      <c r="U6" s="47">
        <f>ROUND(INDEX(Summary!I:I,MATCH(H:H,Summary!A:A,0)),2)</f>
        <v>0.79</v>
      </c>
      <c r="V6" s="81">
        <f t="shared" ref="V6:V69" si="8">+T6*I6</f>
        <v>4130275.3007385153</v>
      </c>
      <c r="W6" s="81">
        <f t="shared" ref="W6:W69" si="9">+U6*J6</f>
        <v>4450986.852536872</v>
      </c>
      <c r="X6" s="45">
        <f t="shared" ref="X6:X69" si="10">+V6+W6</f>
        <v>8581262.1532753874</v>
      </c>
      <c r="Y6" s="45" t="s">
        <v>2752</v>
      </c>
      <c r="Z6" s="45" t="str">
        <f t="shared" ref="Z6:Z69" si="11">IF(AJ6&gt;0,"Yes","No")</f>
        <v>Yes</v>
      </c>
      <c r="AA6" s="45" t="str">
        <f t="shared" ref="AA6:AA69" si="12">IF(AK6&gt;0,"Yes","No")</f>
        <v>Yes</v>
      </c>
      <c r="AB6" s="45" t="str">
        <f t="shared" ref="AB6:AB69" si="13">IF(AG6&gt;0,"Yes","No")</f>
        <v>Yes</v>
      </c>
      <c r="AC6" s="82">
        <f>IFERROR(ROUND(IF(I6&gt;0,IF(O6&gt;0,$R$4*MAX(O6-V6,0),0),0)/I6,2),0)</f>
        <v>1.1200000000000001</v>
      </c>
      <c r="AD6" s="82">
        <f>IFERROR(ROUND(IF(J6&gt;0,IF(P6&gt;0,$R$4*MAX(P6-W6,0),0),0)/J6,2),0)</f>
        <v>1.43</v>
      </c>
      <c r="AE6" s="45">
        <f>AC6*I6</f>
        <v>15951408.058024615</v>
      </c>
      <c r="AF6" s="45">
        <f t="shared" ref="AF6:AF69" si="14">AD6*J6</f>
        <v>8056849.6191490209</v>
      </c>
      <c r="AG6" s="45">
        <f t="shared" ref="AG6:AG69" si="15">AE6+AF6</f>
        <v>24008257.677173637</v>
      </c>
      <c r="AH6" s="47">
        <f>IFERROR(ROUNDDOWN(INDEX('90% of ACR'!K:K,MATCH(H:H,'90% of ACR'!A:A,0))*IF(I6&gt;0,IF(O6&gt;0,$R$4*MAX(O6-V6,0),0),0)/I6,2),0)</f>
        <v>1.1100000000000001</v>
      </c>
      <c r="AI6" s="82">
        <f>IFERROR(ROUNDDOWN(INDEX('90% of ACR'!R:R,MATCH(H:H,'90% of ACR'!A:A,0))*IF(J6&gt;0,IF(P6&gt;0,$R$4*MAX(P6-W6,0),0),0)/J6,2),0)</f>
        <v>0.54</v>
      </c>
      <c r="AJ6" s="45">
        <f t="shared" ref="AJ6:AJ69" si="16">I6*AH6</f>
        <v>15808984.771792252</v>
      </c>
      <c r="AK6" s="45">
        <f t="shared" ref="AK6:AK69" si="17">J6*AI6</f>
        <v>3042446.7093290011</v>
      </c>
      <c r="AL6" s="47">
        <f t="shared" ref="AL6:AL69" si="18">T6+AH6</f>
        <v>1.4000000000000001</v>
      </c>
      <c r="AM6" s="47">
        <f t="shared" ref="AM6:AM69" si="19">U6+AI6</f>
        <v>1.33</v>
      </c>
      <c r="AN6" s="83">
        <f>IFERROR(INDEX('Fee Calc'!P:P,MATCH(C6,'Fee Calc'!F:F,0)),0)</f>
        <v>27432693.634396642</v>
      </c>
      <c r="AO6" s="83">
        <f>IFERROR(INDEX('Fee Calc'!Q:Q,MATCH(C6,'Fee Calc'!F:F,0)),0)</f>
        <v>1703839.784484755</v>
      </c>
      <c r="AP6" s="83">
        <f t="shared" ref="AP6:AP69" si="20">AN6+AO6</f>
        <v>29136533.418881398</v>
      </c>
      <c r="AQ6" s="70">
        <f t="shared" ref="AQ6:AQ69" si="21">$AQ$3*AP6*1.08</f>
        <v>12442232.138931761</v>
      </c>
      <c r="AR6" s="70">
        <f t="shared" ref="AR6:AR69" si="22">AQ6*0.5</f>
        <v>6221116.0694658803</v>
      </c>
      <c r="AS6" s="70">
        <f t="shared" ref="AS6:AS69" si="23">AR6</f>
        <v>6221116.0694658803</v>
      </c>
    </row>
    <row r="7" spans="1:45">
      <c r="A7" s="104" t="s">
        <v>713</v>
      </c>
      <c r="B7" s="31" t="s">
        <v>713</v>
      </c>
      <c r="C7" s="31" t="s">
        <v>714</v>
      </c>
      <c r="D7" s="43" t="s">
        <v>714</v>
      </c>
      <c r="E7" s="119" t="s">
        <v>2779</v>
      </c>
      <c r="F7" s="44" t="s">
        <v>2291</v>
      </c>
      <c r="G7" s="43" t="s">
        <v>227</v>
      </c>
      <c r="H7" s="43" t="str">
        <f t="shared" si="2"/>
        <v>Rural MRSA West</v>
      </c>
      <c r="I7" s="45">
        <f>INDEX('Fee Calc'!M:M,MATCH(C:C,'Fee Calc'!F:F,0))</f>
        <v>930118.02158429089</v>
      </c>
      <c r="J7" s="45">
        <f>INDEX('Fee Calc'!L:L,MATCH(C:C,'Fee Calc'!F:F,0))</f>
        <v>1265680.7295752966</v>
      </c>
      <c r="K7" s="45">
        <f t="shared" si="3"/>
        <v>2195798.7511595874</v>
      </c>
      <c r="L7" s="45">
        <v>231775.57</v>
      </c>
      <c r="M7" s="45">
        <v>-142610.18</v>
      </c>
      <c r="N7" s="45">
        <f t="shared" si="4"/>
        <v>89165.390000000014</v>
      </c>
      <c r="O7" s="45">
        <v>-120974.71635833837</v>
      </c>
      <c r="P7" s="45">
        <v>257109.75159869372</v>
      </c>
      <c r="Q7" s="45">
        <f t="shared" si="5"/>
        <v>136135.03524035536</v>
      </c>
      <c r="R7" s="45" t="str">
        <f t="shared" si="6"/>
        <v>No</v>
      </c>
      <c r="S7" s="46" t="str">
        <f t="shared" si="7"/>
        <v>Yes</v>
      </c>
      <c r="T7" s="47">
        <f>ROUND(INDEX(Summary!H:H,MATCH(H:H,Summary!A:A,0)),2)</f>
        <v>0</v>
      </c>
      <c r="U7" s="47">
        <f>ROUND(INDEX(Summary!I:I,MATCH(H:H,Summary!A:A,0)),2)</f>
        <v>0.2</v>
      </c>
      <c r="V7" s="81">
        <f t="shared" si="8"/>
        <v>0</v>
      </c>
      <c r="W7" s="81">
        <f t="shared" si="9"/>
        <v>253136.14591505934</v>
      </c>
      <c r="X7" s="45">
        <f t="shared" si="10"/>
        <v>253136.14591505934</v>
      </c>
      <c r="Y7" s="45" t="s">
        <v>2752</v>
      </c>
      <c r="Z7" s="45" t="str">
        <f t="shared" si="11"/>
        <v>No</v>
      </c>
      <c r="AA7" s="45" t="str">
        <f t="shared" si="12"/>
        <v>No</v>
      </c>
      <c r="AB7" s="45" t="str">
        <f t="shared" si="13"/>
        <v>No</v>
      </c>
      <c r="AC7" s="82">
        <f t="shared" ref="AC7:AC69" si="24">IFERROR(ROUND(IF(I7&gt;0,IF(O7&gt;0,$R$4*MAX(O7-V7,0),0),0)/I7,2),0)</f>
        <v>0</v>
      </c>
      <c r="AD7" s="82">
        <f t="shared" ref="AD7:AD69" si="25">IFERROR(ROUND(IF(J7&gt;0,IF(P7&gt;0,$R$4*MAX(P7-W7,0),0),0)/J7,2),0)</f>
        <v>0</v>
      </c>
      <c r="AE7" s="45">
        <f t="shared" ref="AE7:AE69" si="26">AC7*I7</f>
        <v>0</v>
      </c>
      <c r="AF7" s="45">
        <f t="shared" si="14"/>
        <v>0</v>
      </c>
      <c r="AG7" s="45">
        <f t="shared" si="15"/>
        <v>0</v>
      </c>
      <c r="AH7" s="47">
        <f>IFERROR(ROUNDDOWN(INDEX('90% of ACR'!K:K,MATCH(H:H,'90% of ACR'!A:A,0))*IF(I7&gt;0,IF(O7&gt;0,$R$4*MAX(O7-V7,0),0),0)/I7,2),0)</f>
        <v>0</v>
      </c>
      <c r="AI7" s="82">
        <f>IFERROR(ROUNDDOWN(INDEX('90% of ACR'!R:R,MATCH(H:H,'90% of ACR'!A:A,0))*IF(J7&gt;0,IF(P7&gt;0,$R$4*MAX(P7-W7,0),0),0)/J7,2),0)</f>
        <v>0</v>
      </c>
      <c r="AJ7" s="45">
        <f t="shared" si="16"/>
        <v>0</v>
      </c>
      <c r="AK7" s="45">
        <f t="shared" si="17"/>
        <v>0</v>
      </c>
      <c r="AL7" s="47">
        <f t="shared" si="18"/>
        <v>0</v>
      </c>
      <c r="AM7" s="47">
        <f t="shared" si="19"/>
        <v>0.2</v>
      </c>
      <c r="AN7" s="83">
        <f>IFERROR(INDEX('Fee Calc'!P:P,MATCH(C7,'Fee Calc'!F:F,0)),0)</f>
        <v>253136.14591505934</v>
      </c>
      <c r="AO7" s="83">
        <f>IFERROR(INDEX('Fee Calc'!Q:Q,MATCH(C7,'Fee Calc'!F:F,0)),0)</f>
        <v>15558.9140459706</v>
      </c>
      <c r="AP7" s="83">
        <f t="shared" si="20"/>
        <v>268695.05996102997</v>
      </c>
      <c r="AQ7" s="70">
        <f t="shared" si="21"/>
        <v>114741.38884527856</v>
      </c>
      <c r="AR7" s="70">
        <f t="shared" si="22"/>
        <v>57370.694422639281</v>
      </c>
      <c r="AS7" s="70">
        <f t="shared" si="23"/>
        <v>57370.694422639281</v>
      </c>
    </row>
    <row r="8" spans="1:45">
      <c r="A8" s="104" t="s">
        <v>40</v>
      </c>
      <c r="B8" s="31" t="s">
        <v>40</v>
      </c>
      <c r="C8" s="31" t="s">
        <v>41</v>
      </c>
      <c r="D8" s="43" t="s">
        <v>41</v>
      </c>
      <c r="E8" s="119" t="s">
        <v>2549</v>
      </c>
      <c r="F8" s="44" t="s">
        <v>2291</v>
      </c>
      <c r="G8" s="43" t="s">
        <v>1486</v>
      </c>
      <c r="H8" s="43" t="str">
        <f t="shared" si="2"/>
        <v>Rural MRSA Central</v>
      </c>
      <c r="I8" s="45">
        <f>INDEX('Fee Calc'!M:M,MATCH(C:C,'Fee Calc'!F:F,0))</f>
        <v>107356.31302993967</v>
      </c>
      <c r="J8" s="45">
        <f>INDEX('Fee Calc'!L:L,MATCH(C:C,'Fee Calc'!F:F,0))</f>
        <v>45642.502507552141</v>
      </c>
      <c r="K8" s="45">
        <f t="shared" si="3"/>
        <v>152998.81553749181</v>
      </c>
      <c r="L8" s="45">
        <v>-16104.09</v>
      </c>
      <c r="M8" s="45">
        <v>-29275.85</v>
      </c>
      <c r="N8" s="45">
        <f t="shared" si="4"/>
        <v>-45379.94</v>
      </c>
      <c r="O8" s="45">
        <v>-22835.466717063449</v>
      </c>
      <c r="P8" s="45">
        <v>83521.712918447301</v>
      </c>
      <c r="Q8" s="45">
        <f t="shared" si="5"/>
        <v>60686.246201383852</v>
      </c>
      <c r="R8" s="45" t="str">
        <f t="shared" si="6"/>
        <v>No</v>
      </c>
      <c r="S8" s="46" t="str">
        <f t="shared" si="7"/>
        <v>Yes</v>
      </c>
      <c r="T8" s="47">
        <f>ROUND(INDEX(Summary!H:H,MATCH(H:H,Summary!A:A,0)),2)</f>
        <v>0.09</v>
      </c>
      <c r="U8" s="47">
        <f>ROUND(INDEX(Summary!I:I,MATCH(H:H,Summary!A:A,0)),2)</f>
        <v>0.09</v>
      </c>
      <c r="V8" s="81">
        <f t="shared" si="8"/>
        <v>9662.0681726945695</v>
      </c>
      <c r="W8" s="81">
        <f t="shared" si="9"/>
        <v>4107.8252256796923</v>
      </c>
      <c r="X8" s="45">
        <f t="shared" si="10"/>
        <v>13769.893398374261</v>
      </c>
      <c r="Y8" s="45" t="s">
        <v>2752</v>
      </c>
      <c r="Z8" s="45" t="str">
        <f t="shared" si="11"/>
        <v>No</v>
      </c>
      <c r="AA8" s="45" t="str">
        <f t="shared" si="12"/>
        <v>Yes</v>
      </c>
      <c r="AB8" s="45" t="str">
        <f t="shared" si="13"/>
        <v>Yes</v>
      </c>
      <c r="AC8" s="82">
        <f t="shared" si="24"/>
        <v>0</v>
      </c>
      <c r="AD8" s="82">
        <f t="shared" si="25"/>
        <v>1.21</v>
      </c>
      <c r="AE8" s="45">
        <f t="shared" si="26"/>
        <v>0</v>
      </c>
      <c r="AF8" s="45">
        <f t="shared" si="14"/>
        <v>55227.428034138087</v>
      </c>
      <c r="AG8" s="45">
        <f t="shared" si="15"/>
        <v>55227.428034138087</v>
      </c>
      <c r="AH8" s="47">
        <f>IFERROR(ROUNDDOWN(INDEX('90% of ACR'!K:K,MATCH(H:H,'90% of ACR'!A:A,0))*IF(I8&gt;0,IF(O8&gt;0,$R$4*MAX(O8-V8,0),0),0)/I8,2),0)</f>
        <v>0</v>
      </c>
      <c r="AI8" s="82">
        <f>IFERROR(ROUNDDOWN(INDEX('90% of ACR'!R:R,MATCH(H:H,'90% of ACR'!A:A,0))*IF(J8&gt;0,IF(P8&gt;0,$R$4*MAX(P8-W8,0),0),0)/J8,2),0)</f>
        <v>1.21</v>
      </c>
      <c r="AJ8" s="45">
        <f t="shared" si="16"/>
        <v>0</v>
      </c>
      <c r="AK8" s="45">
        <f t="shared" si="17"/>
        <v>55227.428034138087</v>
      </c>
      <c r="AL8" s="47">
        <f t="shared" si="18"/>
        <v>0.09</v>
      </c>
      <c r="AM8" s="47">
        <f t="shared" si="19"/>
        <v>1.3</v>
      </c>
      <c r="AN8" s="83">
        <f>IFERROR(INDEX('Fee Calc'!P:P,MATCH(C8,'Fee Calc'!F:F,0)),0)</f>
        <v>68997.321432512355</v>
      </c>
      <c r="AO8" s="83">
        <f>IFERROR(INDEX('Fee Calc'!Q:Q,MATCH(C8,'Fee Calc'!F:F,0)),0)</f>
        <v>4292.5983854047154</v>
      </c>
      <c r="AP8" s="83">
        <f t="shared" si="20"/>
        <v>73289.919817917078</v>
      </c>
      <c r="AQ8" s="70">
        <f t="shared" si="21"/>
        <v>31297.141039684764</v>
      </c>
      <c r="AR8" s="70">
        <f t="shared" si="22"/>
        <v>15648.570519842382</v>
      </c>
      <c r="AS8" s="70">
        <f t="shared" si="23"/>
        <v>15648.570519842382</v>
      </c>
    </row>
    <row r="9" spans="1:45">
      <c r="A9" s="104" t="s">
        <v>1078</v>
      </c>
      <c r="B9" s="31" t="s">
        <v>1078</v>
      </c>
      <c r="C9" s="31" t="s">
        <v>1079</v>
      </c>
      <c r="D9" s="43" t="s">
        <v>1079</v>
      </c>
      <c r="E9" s="119" t="s">
        <v>2780</v>
      </c>
      <c r="F9" s="44" t="s">
        <v>2291</v>
      </c>
      <c r="G9" s="43" t="s">
        <v>1365</v>
      </c>
      <c r="H9" s="43" t="str">
        <f t="shared" si="2"/>
        <v>Rural Tarrant</v>
      </c>
      <c r="I9" s="45">
        <f>INDEX('Fee Calc'!M:M,MATCH(C:C,'Fee Calc'!F:F,0))</f>
        <v>6541725.6774966158</v>
      </c>
      <c r="J9" s="45">
        <f>INDEX('Fee Calc'!L:L,MATCH(C:C,'Fee Calc'!F:F,0))</f>
        <v>2918732.4558699979</v>
      </c>
      <c r="K9" s="45">
        <f t="shared" si="3"/>
        <v>9460458.1333666146</v>
      </c>
      <c r="L9" s="45">
        <v>-2058927.06</v>
      </c>
      <c r="M9" s="45">
        <v>841587.37</v>
      </c>
      <c r="N9" s="45">
        <f t="shared" si="4"/>
        <v>-1217339.69</v>
      </c>
      <c r="O9" s="45">
        <v>1979229.5718088876</v>
      </c>
      <c r="P9" s="45">
        <v>5192701.3514690502</v>
      </c>
      <c r="Q9" s="45">
        <f t="shared" si="5"/>
        <v>7171930.9232779378</v>
      </c>
      <c r="R9" s="45" t="str">
        <f t="shared" si="6"/>
        <v>Yes</v>
      </c>
      <c r="S9" s="46" t="str">
        <f t="shared" si="7"/>
        <v>Yes</v>
      </c>
      <c r="T9" s="47">
        <f>ROUND(INDEX(Summary!H:H,MATCH(H:H,Summary!A:A,0)),2)</f>
        <v>0</v>
      </c>
      <c r="U9" s="47">
        <f>ROUND(INDEX(Summary!I:I,MATCH(H:H,Summary!A:A,0)),2)</f>
        <v>0.47</v>
      </c>
      <c r="V9" s="81">
        <f t="shared" si="8"/>
        <v>0</v>
      </c>
      <c r="W9" s="81">
        <f t="shared" si="9"/>
        <v>1371804.254258899</v>
      </c>
      <c r="X9" s="45">
        <f t="shared" si="10"/>
        <v>1371804.254258899</v>
      </c>
      <c r="Y9" s="45" t="s">
        <v>2752</v>
      </c>
      <c r="Z9" s="45" t="str">
        <f t="shared" si="11"/>
        <v>Yes</v>
      </c>
      <c r="AA9" s="45" t="str">
        <f t="shared" si="12"/>
        <v>Yes</v>
      </c>
      <c r="AB9" s="45" t="str">
        <f t="shared" si="13"/>
        <v>Yes</v>
      </c>
      <c r="AC9" s="82">
        <f t="shared" si="24"/>
        <v>0.21</v>
      </c>
      <c r="AD9" s="82">
        <f t="shared" si="25"/>
        <v>0.91</v>
      </c>
      <c r="AE9" s="45">
        <f t="shared" si="26"/>
        <v>1373762.3922742892</v>
      </c>
      <c r="AF9" s="45">
        <f t="shared" si="14"/>
        <v>2656046.5348416981</v>
      </c>
      <c r="AG9" s="45">
        <f t="shared" si="15"/>
        <v>4029808.9271159871</v>
      </c>
      <c r="AH9" s="47">
        <f>IFERROR(ROUNDDOWN(INDEX('90% of ACR'!K:K,MATCH(H:H,'90% of ACR'!A:A,0))*IF(I9&gt;0,IF(O9&gt;0,$R$4*MAX(O9-V9,0),0),0)/I9,2),0)</f>
        <v>0.21</v>
      </c>
      <c r="AI9" s="82">
        <f>IFERROR(ROUNDDOWN(INDEX('90% of ACR'!R:R,MATCH(H:H,'90% of ACR'!A:A,0))*IF(J9&gt;0,IF(P9&gt;0,$R$4*MAX(P9-W9,0),0),0)/J9,2),0)</f>
        <v>0.91</v>
      </c>
      <c r="AJ9" s="45">
        <f t="shared" si="16"/>
        <v>1373762.3922742892</v>
      </c>
      <c r="AK9" s="45">
        <f t="shared" si="17"/>
        <v>2656046.5348416981</v>
      </c>
      <c r="AL9" s="47">
        <f t="shared" si="18"/>
        <v>0.21</v>
      </c>
      <c r="AM9" s="47">
        <f t="shared" si="19"/>
        <v>1.38</v>
      </c>
      <c r="AN9" s="83">
        <f>IFERROR(INDEX('Fee Calc'!P:P,MATCH(C9,'Fee Calc'!F:F,0)),0)</f>
        <v>5401613.1813748861</v>
      </c>
      <c r="AO9" s="83">
        <f>IFERROR(INDEX('Fee Calc'!Q:Q,MATCH(C9,'Fee Calc'!F:F,0)),0)</f>
        <v>334882.25857069384</v>
      </c>
      <c r="AP9" s="83">
        <f t="shared" si="20"/>
        <v>5736495.4399455795</v>
      </c>
      <c r="AQ9" s="70">
        <f t="shared" si="21"/>
        <v>2449667.1207108404</v>
      </c>
      <c r="AR9" s="70">
        <f t="shared" si="22"/>
        <v>1224833.5603554202</v>
      </c>
      <c r="AS9" s="70">
        <f t="shared" si="23"/>
        <v>1224833.5603554202</v>
      </c>
    </row>
    <row r="10" spans="1:45">
      <c r="A10" s="104" t="s">
        <v>114</v>
      </c>
      <c r="B10" s="31" t="s">
        <v>114</v>
      </c>
      <c r="C10" s="31" t="s">
        <v>115</v>
      </c>
      <c r="D10" s="43" t="s">
        <v>115</v>
      </c>
      <c r="E10" s="119" t="s">
        <v>2347</v>
      </c>
      <c r="F10" s="44" t="s">
        <v>1547</v>
      </c>
      <c r="G10" s="43" t="s">
        <v>1548</v>
      </c>
      <c r="H10" s="43" t="str">
        <f t="shared" si="2"/>
        <v>Children's Nueces</v>
      </c>
      <c r="I10" s="45">
        <f>INDEX('Fee Calc'!M:M,MATCH(C:C,'Fee Calc'!F:F,0))</f>
        <v>62563937.662945956</v>
      </c>
      <c r="J10" s="45">
        <f>INDEX('Fee Calc'!L:L,MATCH(C:C,'Fee Calc'!F:F,0))</f>
        <v>81722468.584929079</v>
      </c>
      <c r="K10" s="45">
        <f t="shared" si="3"/>
        <v>144286406.24787503</v>
      </c>
      <c r="L10" s="45">
        <v>41205101.780000001</v>
      </c>
      <c r="M10" s="45">
        <v>9044850.8200000003</v>
      </c>
      <c r="N10" s="45">
        <f t="shared" si="4"/>
        <v>50249952.600000001</v>
      </c>
      <c r="O10" s="45">
        <v>107652884.89956634</v>
      </c>
      <c r="P10" s="45">
        <v>32771929.613729671</v>
      </c>
      <c r="Q10" s="45">
        <f t="shared" si="5"/>
        <v>140424814.51329601</v>
      </c>
      <c r="R10" s="45" t="str">
        <f t="shared" si="6"/>
        <v>Yes</v>
      </c>
      <c r="S10" s="46" t="str">
        <f t="shared" si="7"/>
        <v>Yes</v>
      </c>
      <c r="T10" s="47">
        <f>ROUND(INDEX(Summary!H:H,MATCH(H:H,Summary!A:A,0)),2)</f>
        <v>0.66</v>
      </c>
      <c r="U10" s="47">
        <f>ROUND(INDEX(Summary!I:I,MATCH(H:H,Summary!A:A,0)),2)</f>
        <v>0.11</v>
      </c>
      <c r="V10" s="81">
        <f t="shared" si="8"/>
        <v>41292198.857544333</v>
      </c>
      <c r="W10" s="81">
        <f t="shared" si="9"/>
        <v>8989471.5443421993</v>
      </c>
      <c r="X10" s="45">
        <f t="shared" si="10"/>
        <v>50281670.40188653</v>
      </c>
      <c r="Y10" s="45" t="s">
        <v>2752</v>
      </c>
      <c r="Z10" s="45" t="str">
        <f t="shared" si="11"/>
        <v>Yes</v>
      </c>
      <c r="AA10" s="45" t="str">
        <f t="shared" si="12"/>
        <v>Yes</v>
      </c>
      <c r="AB10" s="45" t="str">
        <f t="shared" si="13"/>
        <v>Yes</v>
      </c>
      <c r="AC10" s="82">
        <f t="shared" si="24"/>
        <v>0.74</v>
      </c>
      <c r="AD10" s="82">
        <f t="shared" si="25"/>
        <v>0.2</v>
      </c>
      <c r="AE10" s="45">
        <f t="shared" si="26"/>
        <v>46297313.87058001</v>
      </c>
      <c r="AF10" s="45">
        <f t="shared" si="14"/>
        <v>16344493.716985816</v>
      </c>
      <c r="AG10" s="45">
        <f t="shared" si="15"/>
        <v>62641807.587565824</v>
      </c>
      <c r="AH10" s="47">
        <f>IFERROR(ROUNDDOWN(INDEX('90% of ACR'!K:K,MATCH(H:H,'90% of ACR'!A:A,0))*IF(I10&gt;0,IF(O10&gt;0,$R$4*MAX(O10-V10,0),0),0)/I10,2),0)</f>
        <v>0.73</v>
      </c>
      <c r="AI10" s="82">
        <f>IFERROR(ROUNDDOWN(INDEX('90% of ACR'!R:R,MATCH(H:H,'90% of ACR'!A:A,0))*IF(J10&gt;0,IF(P10&gt;0,$R$4*MAX(P10-W10,0),0),0)/J10,2),0)</f>
        <v>0.2</v>
      </c>
      <c r="AJ10" s="45">
        <f t="shared" si="16"/>
        <v>45671674.493950546</v>
      </c>
      <c r="AK10" s="45">
        <f t="shared" si="17"/>
        <v>16344493.716985816</v>
      </c>
      <c r="AL10" s="47">
        <f t="shared" si="18"/>
        <v>1.3900000000000001</v>
      </c>
      <c r="AM10" s="47">
        <f t="shared" si="19"/>
        <v>0.31</v>
      </c>
      <c r="AN10" s="83">
        <f>IFERROR(INDEX('Fee Calc'!P:P,MATCH(C10,'Fee Calc'!F:F,0)),0)</f>
        <v>112297838.61282291</v>
      </c>
      <c r="AO10" s="83">
        <f>IFERROR(INDEX('Fee Calc'!Q:Q,MATCH(C10,'Fee Calc'!F:F,0)),0)</f>
        <v>6852256.2270293878</v>
      </c>
      <c r="AP10" s="83">
        <f t="shared" si="20"/>
        <v>119150094.83985229</v>
      </c>
      <c r="AQ10" s="70">
        <f t="shared" si="21"/>
        <v>50880903.299651802</v>
      </c>
      <c r="AR10" s="70">
        <f t="shared" si="22"/>
        <v>25440451.649825901</v>
      </c>
      <c r="AS10" s="70">
        <f t="shared" si="23"/>
        <v>25440451.649825901</v>
      </c>
    </row>
    <row r="11" spans="1:45" ht="23.25">
      <c r="A11" s="104" t="s">
        <v>1297</v>
      </c>
      <c r="B11" s="31" t="s">
        <v>1297</v>
      </c>
      <c r="C11" s="31" t="s">
        <v>1298</v>
      </c>
      <c r="D11" s="31" t="s">
        <v>1298</v>
      </c>
      <c r="E11" s="119" t="s">
        <v>2585</v>
      </c>
      <c r="F11" s="44" t="s">
        <v>2529</v>
      </c>
      <c r="G11" s="43" t="s">
        <v>227</v>
      </c>
      <c r="H11" s="43" t="str">
        <f t="shared" si="2"/>
        <v>Non-state-owned IMD MRSA West</v>
      </c>
      <c r="I11" s="45">
        <f>INDEX('Fee Calc'!M:M,MATCH(C:C,'Fee Calc'!F:F,0))</f>
        <v>1121425.2850891624</v>
      </c>
      <c r="J11" s="45">
        <f>INDEX('Fee Calc'!L:L,MATCH(C:C,'Fee Calc'!F:F,0))</f>
        <v>0</v>
      </c>
      <c r="K11" s="45">
        <f t="shared" si="3"/>
        <v>1121425.2850891624</v>
      </c>
      <c r="L11" s="45">
        <v>209976.8</v>
      </c>
      <c r="M11" s="45">
        <v>0</v>
      </c>
      <c r="N11" s="45">
        <f t="shared" si="4"/>
        <v>209976.8</v>
      </c>
      <c r="O11" s="45">
        <v>53812.076088599046</v>
      </c>
      <c r="P11" s="45">
        <v>0</v>
      </c>
      <c r="Q11" s="45">
        <f t="shared" si="5"/>
        <v>53812.076088599046</v>
      </c>
      <c r="R11" s="45" t="str">
        <f t="shared" si="6"/>
        <v>Yes</v>
      </c>
      <c r="S11" s="46" t="str">
        <f t="shared" si="7"/>
        <v>No</v>
      </c>
      <c r="T11" s="47">
        <f>ROUND(INDEX(Summary!H:H,MATCH(H:H,Summary!A:A,0)),2)</f>
        <v>0.17</v>
      </c>
      <c r="U11" s="47">
        <f>ROUND(INDEX(Summary!I:I,MATCH(H:H,Summary!A:A,0)),2)</f>
        <v>0</v>
      </c>
      <c r="V11" s="81">
        <f t="shared" si="8"/>
        <v>190642.29846515763</v>
      </c>
      <c r="W11" s="81">
        <f t="shared" si="9"/>
        <v>0</v>
      </c>
      <c r="X11" s="45">
        <f t="shared" si="10"/>
        <v>190642.29846515763</v>
      </c>
      <c r="Y11" s="45" t="s">
        <v>2753</v>
      </c>
      <c r="Z11" s="45" t="str">
        <f t="shared" si="11"/>
        <v>No</v>
      </c>
      <c r="AA11" s="45" t="str">
        <f t="shared" si="12"/>
        <v>No</v>
      </c>
      <c r="AB11" s="45" t="str">
        <f t="shared" si="13"/>
        <v>No</v>
      </c>
      <c r="AC11" s="82">
        <f t="shared" si="24"/>
        <v>0</v>
      </c>
      <c r="AD11" s="82">
        <f t="shared" si="25"/>
        <v>0</v>
      </c>
      <c r="AE11" s="45">
        <f t="shared" si="26"/>
        <v>0</v>
      </c>
      <c r="AF11" s="45">
        <f t="shared" si="14"/>
        <v>0</v>
      </c>
      <c r="AG11" s="45">
        <f t="shared" si="15"/>
        <v>0</v>
      </c>
      <c r="AH11" s="47">
        <f>IFERROR(ROUNDDOWN(INDEX('90% of ACR'!K:K,MATCH(H:H,'90% of ACR'!A:A,0))*IF(I11&gt;0,IF(O11&gt;0,$R$4*MAX(O11-V11,0),0),0)/I11,2),0)</f>
        <v>0</v>
      </c>
      <c r="AI11" s="82">
        <f>IFERROR(ROUNDDOWN(INDEX('90% of ACR'!R:R,MATCH(H:H,'90% of ACR'!A:A,0))*IF(J11&gt;0,IF(P11&gt;0,$R$4*MAX(P11-W11,0),0),0)/J11,2),0)</f>
        <v>0</v>
      </c>
      <c r="AJ11" s="45">
        <f t="shared" si="16"/>
        <v>0</v>
      </c>
      <c r="AK11" s="45">
        <f t="shared" si="17"/>
        <v>0</v>
      </c>
      <c r="AL11" s="47">
        <f t="shared" si="18"/>
        <v>0.17</v>
      </c>
      <c r="AM11" s="47">
        <f t="shared" si="19"/>
        <v>0</v>
      </c>
      <c r="AN11" s="83">
        <f>IFERROR(INDEX('Fee Calc'!P:P,MATCH(C11,'Fee Calc'!F:F,0)),0)</f>
        <v>190642.29846515763</v>
      </c>
      <c r="AO11" s="83">
        <f>IFERROR(INDEX('Fee Calc'!Q:Q,MATCH(C11,'Fee Calc'!F:F,0)),0)</f>
        <v>11630.697253842509</v>
      </c>
      <c r="AP11" s="83">
        <f t="shared" si="20"/>
        <v>202272.99571900014</v>
      </c>
      <c r="AQ11" s="70">
        <f t="shared" si="21"/>
        <v>86377.041907876075</v>
      </c>
      <c r="AR11" s="70">
        <f t="shared" si="22"/>
        <v>43188.520953938038</v>
      </c>
      <c r="AS11" s="70">
        <f t="shared" si="23"/>
        <v>43188.520953938038</v>
      </c>
    </row>
    <row r="12" spans="1:45" ht="23.25">
      <c r="A12" s="104" t="s">
        <v>1212</v>
      </c>
      <c r="B12" s="31" t="s">
        <v>1212</v>
      </c>
      <c r="C12" s="31" t="s">
        <v>1213</v>
      </c>
      <c r="D12" s="43" t="s">
        <v>1213</v>
      </c>
      <c r="E12" s="119" t="s">
        <v>2781</v>
      </c>
      <c r="F12" s="44" t="s">
        <v>2529</v>
      </c>
      <c r="G12" s="43" t="s">
        <v>1202</v>
      </c>
      <c r="H12" s="43" t="str">
        <f t="shared" si="2"/>
        <v>Non-state-owned IMD Travis</v>
      </c>
      <c r="I12" s="45">
        <f>INDEX('Fee Calc'!M:M,MATCH(C:C,'Fee Calc'!F:F,0))</f>
        <v>1353451.2219585024</v>
      </c>
      <c r="J12" s="45">
        <f>INDEX('Fee Calc'!L:L,MATCH(C:C,'Fee Calc'!F:F,0))</f>
        <v>0</v>
      </c>
      <c r="K12" s="45">
        <f t="shared" si="3"/>
        <v>1353451.2219585024</v>
      </c>
      <c r="L12" s="45">
        <v>439781.52</v>
      </c>
      <c r="M12" s="45">
        <v>0</v>
      </c>
      <c r="N12" s="45">
        <f t="shared" si="4"/>
        <v>439781.52</v>
      </c>
      <c r="O12" s="45">
        <v>28091.291644172277</v>
      </c>
      <c r="P12" s="45">
        <v>0</v>
      </c>
      <c r="Q12" s="45">
        <f t="shared" si="5"/>
        <v>28091.291644172277</v>
      </c>
      <c r="R12" s="45" t="str">
        <f t="shared" si="6"/>
        <v>Yes</v>
      </c>
      <c r="S12" s="46" t="str">
        <f t="shared" si="7"/>
        <v>No</v>
      </c>
      <c r="T12" s="47">
        <f>ROUND(INDEX(Summary!H:H,MATCH(H:H,Summary!A:A,0)),2)</f>
        <v>0.28000000000000003</v>
      </c>
      <c r="U12" s="47">
        <f>ROUND(INDEX(Summary!I:I,MATCH(H:H,Summary!A:A,0)),2)</f>
        <v>0</v>
      </c>
      <c r="V12" s="81">
        <f t="shared" si="8"/>
        <v>378966.3421483807</v>
      </c>
      <c r="W12" s="81">
        <f t="shared" si="9"/>
        <v>0</v>
      </c>
      <c r="X12" s="45">
        <f t="shared" si="10"/>
        <v>378966.3421483807</v>
      </c>
      <c r="Y12" s="45" t="s">
        <v>2752</v>
      </c>
      <c r="Z12" s="45" t="str">
        <f t="shared" si="11"/>
        <v>No</v>
      </c>
      <c r="AA12" s="45" t="str">
        <f t="shared" si="12"/>
        <v>No</v>
      </c>
      <c r="AB12" s="45" t="str">
        <f t="shared" si="13"/>
        <v>No</v>
      </c>
      <c r="AC12" s="82">
        <f t="shared" si="24"/>
        <v>0</v>
      </c>
      <c r="AD12" s="82">
        <f t="shared" si="25"/>
        <v>0</v>
      </c>
      <c r="AE12" s="45">
        <f t="shared" si="26"/>
        <v>0</v>
      </c>
      <c r="AF12" s="45">
        <f t="shared" si="14"/>
        <v>0</v>
      </c>
      <c r="AG12" s="45">
        <f t="shared" si="15"/>
        <v>0</v>
      </c>
      <c r="AH12" s="47">
        <f>IFERROR(ROUNDDOWN(INDEX('90% of ACR'!K:K,MATCH(H:H,'90% of ACR'!A:A,0))*IF(I12&gt;0,IF(O12&gt;0,$R$4*MAX(O12-V12,0),0),0)/I12,2),0)</f>
        <v>0</v>
      </c>
      <c r="AI12" s="82">
        <f>IFERROR(ROUNDDOWN(INDEX('90% of ACR'!R:R,MATCH(H:H,'90% of ACR'!A:A,0))*IF(J12&gt;0,IF(P12&gt;0,$R$4*MAX(P12-W12,0),0),0)/J12,2),0)</f>
        <v>0</v>
      </c>
      <c r="AJ12" s="45">
        <f t="shared" si="16"/>
        <v>0</v>
      </c>
      <c r="AK12" s="45">
        <f t="shared" si="17"/>
        <v>0</v>
      </c>
      <c r="AL12" s="47">
        <f t="shared" si="18"/>
        <v>0.28000000000000003</v>
      </c>
      <c r="AM12" s="47">
        <f t="shared" si="19"/>
        <v>0</v>
      </c>
      <c r="AN12" s="83">
        <f>IFERROR(INDEX('Fee Calc'!P:P,MATCH(C12,'Fee Calc'!F:F,0)),0)</f>
        <v>378966.3421483807</v>
      </c>
      <c r="AO12" s="83">
        <f>IFERROR(INDEX('Fee Calc'!Q:Q,MATCH(C12,'Fee Calc'!F:F,0)),0)</f>
        <v>23119.962518336226</v>
      </c>
      <c r="AP12" s="83">
        <f t="shared" si="20"/>
        <v>402086.30466671695</v>
      </c>
      <c r="AQ12" s="70">
        <f t="shared" si="21"/>
        <v>171703.71885443749</v>
      </c>
      <c r="AR12" s="70">
        <f t="shared" si="22"/>
        <v>85851.859427218747</v>
      </c>
      <c r="AS12" s="70">
        <f t="shared" si="23"/>
        <v>85851.859427218747</v>
      </c>
    </row>
    <row r="13" spans="1:45">
      <c r="A13" s="104" t="s">
        <v>1016</v>
      </c>
      <c r="B13" s="31" t="s">
        <v>1016</v>
      </c>
      <c r="C13" s="31" t="s">
        <v>1017</v>
      </c>
      <c r="D13" s="43" t="s">
        <v>1017</v>
      </c>
      <c r="E13" s="119" t="s">
        <v>2782</v>
      </c>
      <c r="F13" s="44" t="s">
        <v>2291</v>
      </c>
      <c r="G13" s="43" t="s">
        <v>227</v>
      </c>
      <c r="H13" s="43" t="str">
        <f t="shared" si="2"/>
        <v>Rural MRSA West</v>
      </c>
      <c r="I13" s="45">
        <f>INDEX('Fee Calc'!M:M,MATCH(C:C,'Fee Calc'!F:F,0))</f>
        <v>1638759.3723444054</v>
      </c>
      <c r="J13" s="45">
        <f>INDEX('Fee Calc'!L:L,MATCH(C:C,'Fee Calc'!F:F,0))</f>
        <v>1394745.5018673728</v>
      </c>
      <c r="K13" s="45">
        <f t="shared" si="3"/>
        <v>3033504.8742117779</v>
      </c>
      <c r="L13" s="45">
        <v>1010195.1</v>
      </c>
      <c r="M13" s="45">
        <v>7628.16</v>
      </c>
      <c r="N13" s="45">
        <f t="shared" si="4"/>
        <v>1017823.26</v>
      </c>
      <c r="O13" s="45">
        <v>610376.41269475082</v>
      </c>
      <c r="P13" s="45">
        <v>179902.62764712702</v>
      </c>
      <c r="Q13" s="45">
        <f t="shared" si="5"/>
        <v>790279.04034187784</v>
      </c>
      <c r="R13" s="45" t="str">
        <f t="shared" si="6"/>
        <v>Yes</v>
      </c>
      <c r="S13" s="46" t="str">
        <f t="shared" si="7"/>
        <v>Yes</v>
      </c>
      <c r="T13" s="47">
        <f>ROUND(INDEX(Summary!H:H,MATCH(H:H,Summary!A:A,0)),2)</f>
        <v>0</v>
      </c>
      <c r="U13" s="47">
        <f>ROUND(INDEX(Summary!I:I,MATCH(H:H,Summary!A:A,0)),2)</f>
        <v>0.2</v>
      </c>
      <c r="V13" s="81">
        <f t="shared" si="8"/>
        <v>0</v>
      </c>
      <c r="W13" s="81">
        <f t="shared" si="9"/>
        <v>278949.10037347459</v>
      </c>
      <c r="X13" s="45">
        <f t="shared" si="10"/>
        <v>278949.10037347459</v>
      </c>
      <c r="Y13" s="45" t="s">
        <v>2753</v>
      </c>
      <c r="Z13" s="45" t="str">
        <f t="shared" si="11"/>
        <v>No</v>
      </c>
      <c r="AA13" s="45" t="str">
        <f t="shared" si="12"/>
        <v>No</v>
      </c>
      <c r="AB13" s="45" t="str">
        <f t="shared" si="13"/>
        <v>Yes</v>
      </c>
      <c r="AC13" s="82">
        <f t="shared" si="24"/>
        <v>0.26</v>
      </c>
      <c r="AD13" s="82">
        <f t="shared" si="25"/>
        <v>0</v>
      </c>
      <c r="AE13" s="45">
        <f t="shared" si="26"/>
        <v>426077.43680954544</v>
      </c>
      <c r="AF13" s="45">
        <f t="shared" si="14"/>
        <v>0</v>
      </c>
      <c r="AG13" s="45">
        <f t="shared" si="15"/>
        <v>426077.43680954544</v>
      </c>
      <c r="AH13" s="47">
        <f>IFERROR(ROUNDDOWN(INDEX('90% of ACR'!K:K,MATCH(H:H,'90% of ACR'!A:A,0))*IF(I13&gt;0,IF(O13&gt;0,$R$4*MAX(O13-V13,0),0),0)/I13,2),0)</f>
        <v>0</v>
      </c>
      <c r="AI13" s="82">
        <f>IFERROR(ROUNDDOWN(INDEX('90% of ACR'!R:R,MATCH(H:H,'90% of ACR'!A:A,0))*IF(J13&gt;0,IF(P13&gt;0,$R$4*MAX(P13-W13,0),0),0)/J13,2),0)</f>
        <v>0</v>
      </c>
      <c r="AJ13" s="45">
        <f t="shared" si="16"/>
        <v>0</v>
      </c>
      <c r="AK13" s="45">
        <f t="shared" si="17"/>
        <v>0</v>
      </c>
      <c r="AL13" s="47">
        <f t="shared" si="18"/>
        <v>0</v>
      </c>
      <c r="AM13" s="47">
        <f t="shared" si="19"/>
        <v>0.2</v>
      </c>
      <c r="AN13" s="83">
        <f>IFERROR(INDEX('Fee Calc'!P:P,MATCH(C13,'Fee Calc'!F:F,0)),0)</f>
        <v>278949.10037347459</v>
      </c>
      <c r="AO13" s="83">
        <f>IFERROR(INDEX('Fee Calc'!Q:Q,MATCH(C13,'Fee Calc'!F:F,0)),0)</f>
        <v>17131.29482292695</v>
      </c>
      <c r="AP13" s="83">
        <f t="shared" si="20"/>
        <v>296080.39519640151</v>
      </c>
      <c r="AQ13" s="70">
        <f t="shared" si="21"/>
        <v>126435.80332150972</v>
      </c>
      <c r="AR13" s="70">
        <f t="shared" si="22"/>
        <v>63217.901660754862</v>
      </c>
      <c r="AS13" s="70">
        <f t="shared" si="23"/>
        <v>63217.901660754862</v>
      </c>
    </row>
    <row r="14" spans="1:45" ht="13.5" customHeight="1">
      <c r="A14" s="104" t="s">
        <v>1484</v>
      </c>
      <c r="B14" s="31" t="s">
        <v>1484</v>
      </c>
      <c r="C14" s="31" t="s">
        <v>1485</v>
      </c>
      <c r="D14" s="43" t="s">
        <v>1485</v>
      </c>
      <c r="E14" s="119" t="s">
        <v>2783</v>
      </c>
      <c r="F14" s="44" t="s">
        <v>2291</v>
      </c>
      <c r="G14" s="43" t="s">
        <v>1486</v>
      </c>
      <c r="H14" s="43" t="str">
        <f t="shared" si="2"/>
        <v>Rural MRSA Central</v>
      </c>
      <c r="I14" s="45">
        <f>INDEX('Fee Calc'!M:M,MATCH(C:C,'Fee Calc'!F:F,0))</f>
        <v>1486747.0581828004</v>
      </c>
      <c r="J14" s="45">
        <f>INDEX('Fee Calc'!L:L,MATCH(C:C,'Fee Calc'!F:F,0))</f>
        <v>158699.13368609807</v>
      </c>
      <c r="K14" s="45">
        <f t="shared" si="3"/>
        <v>1645446.1918688985</v>
      </c>
      <c r="L14" s="45">
        <v>493445.11</v>
      </c>
      <c r="M14" s="45">
        <v>204734.05</v>
      </c>
      <c r="N14" s="45">
        <f t="shared" si="4"/>
        <v>698179.15999999992</v>
      </c>
      <c r="O14" s="45">
        <v>311939.83230407781</v>
      </c>
      <c r="P14" s="45">
        <v>191459.80817585744</v>
      </c>
      <c r="Q14" s="45">
        <f t="shared" si="5"/>
        <v>503399.64047993522</v>
      </c>
      <c r="R14" s="45" t="str">
        <f t="shared" si="6"/>
        <v>Yes</v>
      </c>
      <c r="S14" s="46" t="str">
        <f t="shared" si="7"/>
        <v>Yes</v>
      </c>
      <c r="T14" s="47">
        <f>ROUND(INDEX(Summary!H:H,MATCH(H:H,Summary!A:A,0)),2)</f>
        <v>0.09</v>
      </c>
      <c r="U14" s="47">
        <f>ROUND(INDEX(Summary!I:I,MATCH(H:H,Summary!A:A,0)),2)</f>
        <v>0.09</v>
      </c>
      <c r="V14" s="81">
        <f t="shared" si="8"/>
        <v>133807.23523645202</v>
      </c>
      <c r="W14" s="81">
        <f t="shared" si="9"/>
        <v>14282.922031748825</v>
      </c>
      <c r="X14" s="45">
        <f t="shared" si="10"/>
        <v>148090.15726820086</v>
      </c>
      <c r="Y14" s="45" t="s">
        <v>2752</v>
      </c>
      <c r="Z14" s="45" t="str">
        <f t="shared" si="11"/>
        <v>Yes</v>
      </c>
      <c r="AA14" s="45" t="str">
        <f t="shared" si="12"/>
        <v>Yes</v>
      </c>
      <c r="AB14" s="45" t="str">
        <f t="shared" si="13"/>
        <v>Yes</v>
      </c>
      <c r="AC14" s="82">
        <f t="shared" si="24"/>
        <v>0.08</v>
      </c>
      <c r="AD14" s="82">
        <f t="shared" si="25"/>
        <v>0.78</v>
      </c>
      <c r="AE14" s="45">
        <f t="shared" si="26"/>
        <v>118939.76465462404</v>
      </c>
      <c r="AF14" s="45">
        <f t="shared" si="14"/>
        <v>123785.3242751565</v>
      </c>
      <c r="AG14" s="45">
        <f t="shared" si="15"/>
        <v>242725.08892978053</v>
      </c>
      <c r="AH14" s="47">
        <f>IFERROR(ROUNDDOWN(INDEX('90% of ACR'!K:K,MATCH(H:H,'90% of ACR'!A:A,0))*IF(I14&gt;0,IF(O14&gt;0,$R$4*MAX(O14-V14,0),0),0)/I14,2),0)</f>
        <v>0.04</v>
      </c>
      <c r="AI14" s="82">
        <f>IFERROR(ROUNDDOWN(INDEX('90% of ACR'!R:R,MATCH(H:H,'90% of ACR'!A:A,0))*IF(J14&gt;0,IF(P14&gt;0,$R$4*MAX(P14-W14,0),0),0)/J14,2),0)</f>
        <v>0.77</v>
      </c>
      <c r="AJ14" s="45">
        <f t="shared" si="16"/>
        <v>59469.882327312022</v>
      </c>
      <c r="AK14" s="45">
        <f t="shared" si="17"/>
        <v>122198.33293829551</v>
      </c>
      <c r="AL14" s="47">
        <f t="shared" si="18"/>
        <v>0.13</v>
      </c>
      <c r="AM14" s="47">
        <f t="shared" si="19"/>
        <v>0.86</v>
      </c>
      <c r="AN14" s="83">
        <f>IFERROR(INDEX('Fee Calc'!P:P,MATCH(C14,'Fee Calc'!F:F,0)),0)</f>
        <v>329758.3725338084</v>
      </c>
      <c r="AO14" s="83">
        <f>IFERROR(INDEX('Fee Calc'!Q:Q,MATCH(C14,'Fee Calc'!F:F,0)),0)</f>
        <v>20329.135721112834</v>
      </c>
      <c r="AP14" s="83">
        <f t="shared" si="20"/>
        <v>350087.50825492124</v>
      </c>
      <c r="AQ14" s="70">
        <f t="shared" si="21"/>
        <v>149498.56882511551</v>
      </c>
      <c r="AR14" s="70">
        <f t="shared" si="22"/>
        <v>74749.284412557754</v>
      </c>
      <c r="AS14" s="70">
        <f t="shared" si="23"/>
        <v>74749.284412557754</v>
      </c>
    </row>
    <row r="15" spans="1:45">
      <c r="A15" s="104" t="s">
        <v>587</v>
      </c>
      <c r="B15" s="31" t="s">
        <v>587</v>
      </c>
      <c r="C15" s="31" t="s">
        <v>588</v>
      </c>
      <c r="D15" s="43" t="s">
        <v>588</v>
      </c>
      <c r="E15" s="119" t="s">
        <v>2675</v>
      </c>
      <c r="F15" s="44" t="s">
        <v>2291</v>
      </c>
      <c r="G15" s="43" t="s">
        <v>227</v>
      </c>
      <c r="H15" s="43" t="str">
        <f t="shared" si="2"/>
        <v>Rural MRSA West</v>
      </c>
      <c r="I15" s="45">
        <f>INDEX('Fee Calc'!M:M,MATCH(C:C,'Fee Calc'!F:F,0))</f>
        <v>1473940.4703696994</v>
      </c>
      <c r="J15" s="45">
        <f>INDEX('Fee Calc'!L:L,MATCH(C:C,'Fee Calc'!F:F,0))</f>
        <v>1186908.1893434823</v>
      </c>
      <c r="K15" s="45">
        <f t="shared" si="3"/>
        <v>2660848.6597131817</v>
      </c>
      <c r="L15" s="45">
        <v>-3172454.41</v>
      </c>
      <c r="M15" s="45">
        <v>205980.15</v>
      </c>
      <c r="N15" s="45">
        <f t="shared" si="4"/>
        <v>-2966474.2600000002</v>
      </c>
      <c r="O15" s="45">
        <v>-3378274.5886394279</v>
      </c>
      <c r="P15" s="45">
        <v>218617.37331296084</v>
      </c>
      <c r="Q15" s="45">
        <f t="shared" si="5"/>
        <v>-3159657.2153264671</v>
      </c>
      <c r="R15" s="45" t="str">
        <f t="shared" si="6"/>
        <v>No</v>
      </c>
      <c r="S15" s="46" t="str">
        <f t="shared" si="7"/>
        <v>Yes</v>
      </c>
      <c r="T15" s="47">
        <f>ROUND(INDEX(Summary!H:H,MATCH(H:H,Summary!A:A,0)),2)</f>
        <v>0</v>
      </c>
      <c r="U15" s="47">
        <f>ROUND(INDEX(Summary!I:I,MATCH(H:H,Summary!A:A,0)),2)</f>
        <v>0.2</v>
      </c>
      <c r="V15" s="81">
        <f t="shared" si="8"/>
        <v>0</v>
      </c>
      <c r="W15" s="81">
        <f t="shared" si="9"/>
        <v>237381.63786869647</v>
      </c>
      <c r="X15" s="45">
        <f t="shared" si="10"/>
        <v>237381.63786869647</v>
      </c>
      <c r="Y15" s="45" t="s">
        <v>2752</v>
      </c>
      <c r="Z15" s="45" t="str">
        <f t="shared" si="11"/>
        <v>No</v>
      </c>
      <c r="AA15" s="45" t="str">
        <f t="shared" si="12"/>
        <v>No</v>
      </c>
      <c r="AB15" s="45" t="str">
        <f t="shared" si="13"/>
        <v>No</v>
      </c>
      <c r="AC15" s="82">
        <f t="shared" si="24"/>
        <v>0</v>
      </c>
      <c r="AD15" s="82">
        <f t="shared" si="25"/>
        <v>0</v>
      </c>
      <c r="AE15" s="45">
        <f t="shared" si="26"/>
        <v>0</v>
      </c>
      <c r="AF15" s="45">
        <f t="shared" si="14"/>
        <v>0</v>
      </c>
      <c r="AG15" s="45">
        <f t="shared" si="15"/>
        <v>0</v>
      </c>
      <c r="AH15" s="47">
        <f>IFERROR(ROUNDDOWN(INDEX('90% of ACR'!K:K,MATCH(H:H,'90% of ACR'!A:A,0))*IF(I15&gt;0,IF(O15&gt;0,$R$4*MAX(O15-V15,0),0),0)/I15,2),0)</f>
        <v>0</v>
      </c>
      <c r="AI15" s="82">
        <f>IFERROR(ROUNDDOWN(INDEX('90% of ACR'!R:R,MATCH(H:H,'90% of ACR'!A:A,0))*IF(J15&gt;0,IF(P15&gt;0,$R$4*MAX(P15-W15,0),0),0)/J15,2),0)</f>
        <v>0</v>
      </c>
      <c r="AJ15" s="45">
        <f t="shared" si="16"/>
        <v>0</v>
      </c>
      <c r="AK15" s="45">
        <f t="shared" si="17"/>
        <v>0</v>
      </c>
      <c r="AL15" s="47">
        <f t="shared" si="18"/>
        <v>0</v>
      </c>
      <c r="AM15" s="47">
        <f t="shared" si="19"/>
        <v>0.2</v>
      </c>
      <c r="AN15" s="83">
        <f>IFERROR(INDEX('Fee Calc'!P:P,MATCH(C15,'Fee Calc'!F:F,0)),0)</f>
        <v>237381.63786869647</v>
      </c>
      <c r="AO15" s="83">
        <f>IFERROR(INDEX('Fee Calc'!Q:Q,MATCH(C15,'Fee Calc'!F:F,0)),0)</f>
        <v>14582.719751797571</v>
      </c>
      <c r="AP15" s="83">
        <f t="shared" si="20"/>
        <v>251964.35762049403</v>
      </c>
      <c r="AQ15" s="70">
        <f t="shared" si="21"/>
        <v>107596.84356339481</v>
      </c>
      <c r="AR15" s="70">
        <f t="shared" si="22"/>
        <v>53798.421781697405</v>
      </c>
      <c r="AS15" s="70">
        <f t="shared" si="23"/>
        <v>53798.421781697405</v>
      </c>
    </row>
    <row r="16" spans="1:45">
      <c r="A16" s="104" t="s">
        <v>1603</v>
      </c>
      <c r="B16" s="31" t="s">
        <v>1603</v>
      </c>
      <c r="C16" s="31" t="s">
        <v>1604</v>
      </c>
      <c r="D16" s="43" t="s">
        <v>1604</v>
      </c>
      <c r="E16" s="119" t="s">
        <v>2784</v>
      </c>
      <c r="F16" s="44" t="s">
        <v>2291</v>
      </c>
      <c r="G16" s="43" t="s">
        <v>227</v>
      </c>
      <c r="H16" s="43" t="str">
        <f t="shared" si="2"/>
        <v>Rural MRSA West</v>
      </c>
      <c r="I16" s="45">
        <f>INDEX('Fee Calc'!M:M,MATCH(C:C,'Fee Calc'!F:F,0))</f>
        <v>13341.695015561627</v>
      </c>
      <c r="J16" s="45">
        <f>INDEX('Fee Calc'!L:L,MATCH(C:C,'Fee Calc'!F:F,0))</f>
        <v>399717.40956871503</v>
      </c>
      <c r="K16" s="45">
        <f t="shared" si="3"/>
        <v>413059.10458427668</v>
      </c>
      <c r="L16" s="45">
        <v>29297.19</v>
      </c>
      <c r="M16" s="45">
        <v>56661.25</v>
      </c>
      <c r="N16" s="45">
        <f t="shared" si="4"/>
        <v>85958.44</v>
      </c>
      <c r="O16" s="45">
        <v>15544.35579144276</v>
      </c>
      <c r="P16" s="45">
        <v>41954.215911709762</v>
      </c>
      <c r="Q16" s="45">
        <f t="shared" si="5"/>
        <v>57498.57170315252</v>
      </c>
      <c r="R16" s="45" t="str">
        <f t="shared" si="6"/>
        <v>Yes</v>
      </c>
      <c r="S16" s="46" t="str">
        <f t="shared" si="7"/>
        <v>Yes</v>
      </c>
      <c r="T16" s="47">
        <f>ROUND(INDEX(Summary!H:H,MATCH(H:H,Summary!A:A,0)),2)</f>
        <v>0</v>
      </c>
      <c r="U16" s="47">
        <f>ROUND(INDEX(Summary!I:I,MATCH(H:H,Summary!A:A,0)),2)</f>
        <v>0.2</v>
      </c>
      <c r="V16" s="81">
        <f t="shared" si="8"/>
        <v>0</v>
      </c>
      <c r="W16" s="81">
        <f t="shared" si="9"/>
        <v>79943.481913743017</v>
      </c>
      <c r="X16" s="45">
        <f t="shared" si="10"/>
        <v>79943.481913743017</v>
      </c>
      <c r="Y16" s="45" t="s">
        <v>2752</v>
      </c>
      <c r="Z16" s="45" t="str">
        <f t="shared" si="11"/>
        <v>No</v>
      </c>
      <c r="AA16" s="45" t="str">
        <f t="shared" si="12"/>
        <v>No</v>
      </c>
      <c r="AB16" s="45" t="str">
        <f t="shared" si="13"/>
        <v>Yes</v>
      </c>
      <c r="AC16" s="82">
        <f t="shared" si="24"/>
        <v>0.81</v>
      </c>
      <c r="AD16" s="82">
        <f t="shared" si="25"/>
        <v>0</v>
      </c>
      <c r="AE16" s="45">
        <f t="shared" si="26"/>
        <v>10806.772962604919</v>
      </c>
      <c r="AF16" s="45">
        <f t="shared" si="14"/>
        <v>0</v>
      </c>
      <c r="AG16" s="45">
        <f t="shared" si="15"/>
        <v>10806.772962604919</v>
      </c>
      <c r="AH16" s="47">
        <f>IFERROR(ROUNDDOWN(INDEX('90% of ACR'!K:K,MATCH(H:H,'90% of ACR'!A:A,0))*IF(I16&gt;0,IF(O16&gt;0,$R$4*MAX(O16-V16,0),0),0)/I16,2),0)</f>
        <v>0</v>
      </c>
      <c r="AI16" s="82">
        <f>IFERROR(ROUNDDOWN(INDEX('90% of ACR'!R:R,MATCH(H:H,'90% of ACR'!A:A,0))*IF(J16&gt;0,IF(P16&gt;0,$R$4*MAX(P16-W16,0),0),0)/J16,2),0)</f>
        <v>0</v>
      </c>
      <c r="AJ16" s="45">
        <f t="shared" si="16"/>
        <v>0</v>
      </c>
      <c r="AK16" s="45">
        <f t="shared" si="17"/>
        <v>0</v>
      </c>
      <c r="AL16" s="47">
        <f t="shared" si="18"/>
        <v>0</v>
      </c>
      <c r="AM16" s="47">
        <f t="shared" si="19"/>
        <v>0.2</v>
      </c>
      <c r="AN16" s="83">
        <f>IFERROR(INDEX('Fee Calc'!P:P,MATCH(C16,'Fee Calc'!F:F,0)),0)</f>
        <v>79943.481913743017</v>
      </c>
      <c r="AO16" s="83">
        <f>IFERROR(INDEX('Fee Calc'!Q:Q,MATCH(C16,'Fee Calc'!F:F,0)),0)</f>
        <v>4936.0571876717513</v>
      </c>
      <c r="AP16" s="83">
        <f t="shared" si="20"/>
        <v>84879.539101414761</v>
      </c>
      <c r="AQ16" s="70">
        <f t="shared" si="21"/>
        <v>36246.279341555346</v>
      </c>
      <c r="AR16" s="70">
        <f t="shared" si="22"/>
        <v>18123.139670777673</v>
      </c>
      <c r="AS16" s="70">
        <f t="shared" si="23"/>
        <v>18123.139670777673</v>
      </c>
    </row>
    <row r="17" spans="1:45">
      <c r="A17" s="104" t="s">
        <v>904</v>
      </c>
      <c r="B17" s="31" t="s">
        <v>904</v>
      </c>
      <c r="C17" s="31" t="s">
        <v>905</v>
      </c>
      <c r="D17" s="43" t="s">
        <v>905</v>
      </c>
      <c r="E17" s="119" t="s">
        <v>2593</v>
      </c>
      <c r="F17" s="44" t="s">
        <v>2291</v>
      </c>
      <c r="G17" s="43" t="s">
        <v>310</v>
      </c>
      <c r="H17" s="43" t="str">
        <f t="shared" si="2"/>
        <v>Rural MRSA Northeast</v>
      </c>
      <c r="I17" s="45">
        <f>INDEX('Fee Calc'!M:M,MATCH(C:C,'Fee Calc'!F:F,0))</f>
        <v>286.95029681211884</v>
      </c>
      <c r="J17" s="45">
        <f>INDEX('Fee Calc'!L:L,MATCH(C:C,'Fee Calc'!F:F,0))</f>
        <v>53905.871594240234</v>
      </c>
      <c r="K17" s="45">
        <f t="shared" si="3"/>
        <v>54192.82189105235</v>
      </c>
      <c r="L17" s="45">
        <v>0</v>
      </c>
      <c r="M17" s="45">
        <v>-10218.65</v>
      </c>
      <c r="N17" s="45">
        <f t="shared" si="4"/>
        <v>-10218.65</v>
      </c>
      <c r="O17" s="45">
        <v>0</v>
      </c>
      <c r="P17" s="45">
        <v>-10305.360509277154</v>
      </c>
      <c r="Q17" s="45">
        <f t="shared" si="5"/>
        <v>-10305.360509277154</v>
      </c>
      <c r="R17" s="45" t="str">
        <f t="shared" si="6"/>
        <v>No</v>
      </c>
      <c r="S17" s="46" t="str">
        <f t="shared" si="7"/>
        <v>No</v>
      </c>
      <c r="T17" s="47">
        <f>ROUND(INDEX(Summary!H:H,MATCH(H:H,Summary!A:A,0)),2)</f>
        <v>0</v>
      </c>
      <c r="U17" s="47">
        <f>ROUND(INDEX(Summary!I:I,MATCH(H:H,Summary!A:A,0)),2)</f>
        <v>0.3</v>
      </c>
      <c r="V17" s="81">
        <f t="shared" si="8"/>
        <v>0</v>
      </c>
      <c r="W17" s="81">
        <f t="shared" si="9"/>
        <v>16171.76147827207</v>
      </c>
      <c r="X17" s="45">
        <f t="shared" si="10"/>
        <v>16171.76147827207</v>
      </c>
      <c r="Y17" s="45" t="s">
        <v>2752</v>
      </c>
      <c r="Z17" s="45" t="str">
        <f t="shared" si="11"/>
        <v>No</v>
      </c>
      <c r="AA17" s="45" t="str">
        <f t="shared" si="12"/>
        <v>No</v>
      </c>
      <c r="AB17" s="45" t="str">
        <f t="shared" si="13"/>
        <v>No</v>
      </c>
      <c r="AC17" s="82">
        <f t="shared" si="24"/>
        <v>0</v>
      </c>
      <c r="AD17" s="82">
        <f t="shared" si="25"/>
        <v>0</v>
      </c>
      <c r="AE17" s="45">
        <f t="shared" si="26"/>
        <v>0</v>
      </c>
      <c r="AF17" s="45">
        <f t="shared" si="14"/>
        <v>0</v>
      </c>
      <c r="AG17" s="45">
        <f t="shared" si="15"/>
        <v>0</v>
      </c>
      <c r="AH17" s="47">
        <f>IFERROR(ROUNDDOWN(INDEX('90% of ACR'!K:K,MATCH(H:H,'90% of ACR'!A:A,0))*IF(I17&gt;0,IF(O17&gt;0,$R$4*MAX(O17-V17,0),0),0)/I17,2),0)</f>
        <v>0</v>
      </c>
      <c r="AI17" s="82">
        <f>IFERROR(ROUNDDOWN(INDEX('90% of ACR'!R:R,MATCH(H:H,'90% of ACR'!A:A,0))*IF(J17&gt;0,IF(P17&gt;0,$R$4*MAX(P17-W17,0),0),0)/J17,2),0)</f>
        <v>0</v>
      </c>
      <c r="AJ17" s="45">
        <f t="shared" si="16"/>
        <v>0</v>
      </c>
      <c r="AK17" s="45">
        <f t="shared" si="17"/>
        <v>0</v>
      </c>
      <c r="AL17" s="47">
        <f t="shared" si="18"/>
        <v>0</v>
      </c>
      <c r="AM17" s="47">
        <f t="shared" si="19"/>
        <v>0.3</v>
      </c>
      <c r="AN17" s="83">
        <f>IFERROR(INDEX('Fee Calc'!P:P,MATCH(C17,'Fee Calc'!F:F,0)),0)</f>
        <v>16171.76147827207</v>
      </c>
      <c r="AO17" s="83">
        <f>IFERROR(INDEX('Fee Calc'!Q:Q,MATCH(C17,'Fee Calc'!F:F,0)),0)</f>
        <v>999.53625398772397</v>
      </c>
      <c r="AP17" s="83">
        <f t="shared" si="20"/>
        <v>17171.297732259794</v>
      </c>
      <c r="AQ17" s="70">
        <f t="shared" si="21"/>
        <v>7332.6936132023648</v>
      </c>
      <c r="AR17" s="70">
        <f t="shared" si="22"/>
        <v>3666.3468066011824</v>
      </c>
      <c r="AS17" s="70">
        <f t="shared" si="23"/>
        <v>3666.3468066011824</v>
      </c>
    </row>
    <row r="18" spans="1:45">
      <c r="A18" s="104" t="s">
        <v>804</v>
      </c>
      <c r="B18" s="31" t="s">
        <v>804</v>
      </c>
      <c r="C18" s="31" t="s">
        <v>805</v>
      </c>
      <c r="D18" s="43" t="s">
        <v>805</v>
      </c>
      <c r="E18" s="119" t="s">
        <v>2785</v>
      </c>
      <c r="F18" s="44" t="s">
        <v>2291</v>
      </c>
      <c r="G18" s="43" t="s">
        <v>1486</v>
      </c>
      <c r="H18" s="43" t="str">
        <f t="shared" si="2"/>
        <v>Rural MRSA Central</v>
      </c>
      <c r="I18" s="45">
        <f>INDEX('Fee Calc'!M:M,MATCH(C:C,'Fee Calc'!F:F,0))</f>
        <v>124474.60242216069</v>
      </c>
      <c r="J18" s="45">
        <f>INDEX('Fee Calc'!L:L,MATCH(C:C,'Fee Calc'!F:F,0))</f>
        <v>1314840.8190115457</v>
      </c>
      <c r="K18" s="45">
        <f t="shared" si="3"/>
        <v>1439315.4214337065</v>
      </c>
      <c r="L18" s="45">
        <v>7006.55</v>
      </c>
      <c r="M18" s="45">
        <v>-341957.65</v>
      </c>
      <c r="N18" s="45">
        <f t="shared" si="4"/>
        <v>-334951.10000000003</v>
      </c>
      <c r="O18" s="45">
        <v>2213.5782931194626</v>
      </c>
      <c r="P18" s="45">
        <v>-85326.24365225673</v>
      </c>
      <c r="Q18" s="45">
        <f t="shared" si="5"/>
        <v>-83112.66535913726</v>
      </c>
      <c r="R18" s="45" t="str">
        <f t="shared" si="6"/>
        <v>Yes</v>
      </c>
      <c r="S18" s="46" t="str">
        <f t="shared" si="7"/>
        <v>No</v>
      </c>
      <c r="T18" s="47">
        <f>ROUND(INDEX(Summary!H:H,MATCH(H:H,Summary!A:A,0)),2)</f>
        <v>0.09</v>
      </c>
      <c r="U18" s="47">
        <f>ROUND(INDEX(Summary!I:I,MATCH(H:H,Summary!A:A,0)),2)</f>
        <v>0.09</v>
      </c>
      <c r="V18" s="81">
        <f t="shared" si="8"/>
        <v>11202.714217994462</v>
      </c>
      <c r="W18" s="81">
        <f t="shared" si="9"/>
        <v>118335.67371103911</v>
      </c>
      <c r="X18" s="45">
        <f t="shared" si="10"/>
        <v>129538.38792903358</v>
      </c>
      <c r="Y18" s="45" t="s">
        <v>2752</v>
      </c>
      <c r="Z18" s="45" t="str">
        <f t="shared" si="11"/>
        <v>No</v>
      </c>
      <c r="AA18" s="45" t="str">
        <f t="shared" si="12"/>
        <v>No</v>
      </c>
      <c r="AB18" s="45" t="str">
        <f t="shared" si="13"/>
        <v>No</v>
      </c>
      <c r="AC18" s="82">
        <f t="shared" si="24"/>
        <v>0</v>
      </c>
      <c r="AD18" s="82">
        <f t="shared" si="25"/>
        <v>0</v>
      </c>
      <c r="AE18" s="45">
        <f t="shared" si="26"/>
        <v>0</v>
      </c>
      <c r="AF18" s="45">
        <f t="shared" si="14"/>
        <v>0</v>
      </c>
      <c r="AG18" s="45">
        <f t="shared" si="15"/>
        <v>0</v>
      </c>
      <c r="AH18" s="47">
        <f>IFERROR(ROUNDDOWN(INDEX('90% of ACR'!K:K,MATCH(H:H,'90% of ACR'!A:A,0))*IF(I18&gt;0,IF(O18&gt;0,$R$4*MAX(O18-V18,0),0),0)/I18,2),0)</f>
        <v>0</v>
      </c>
      <c r="AI18" s="82">
        <f>IFERROR(ROUNDDOWN(INDEX('90% of ACR'!R:R,MATCH(H:H,'90% of ACR'!A:A,0))*IF(J18&gt;0,IF(P18&gt;0,$R$4*MAX(P18-W18,0),0),0)/J18,2),0)</f>
        <v>0</v>
      </c>
      <c r="AJ18" s="45">
        <f t="shared" si="16"/>
        <v>0</v>
      </c>
      <c r="AK18" s="45">
        <f t="shared" si="17"/>
        <v>0</v>
      </c>
      <c r="AL18" s="47">
        <f t="shared" si="18"/>
        <v>0.09</v>
      </c>
      <c r="AM18" s="47">
        <f t="shared" si="19"/>
        <v>0.09</v>
      </c>
      <c r="AN18" s="83">
        <f>IFERROR(INDEX('Fee Calc'!P:P,MATCH(C18,'Fee Calc'!F:F,0)),0)</f>
        <v>129538.38792903358</v>
      </c>
      <c r="AO18" s="83">
        <f>IFERROR(INDEX('Fee Calc'!Q:Q,MATCH(C18,'Fee Calc'!F:F,0)),0)</f>
        <v>8028.647247602984</v>
      </c>
      <c r="AP18" s="83">
        <f t="shared" si="20"/>
        <v>137567.03517663656</v>
      </c>
      <c r="AQ18" s="70">
        <f t="shared" si="21"/>
        <v>58745.526165549469</v>
      </c>
      <c r="AR18" s="70">
        <f t="shared" si="22"/>
        <v>29372.763082774734</v>
      </c>
      <c r="AS18" s="70">
        <f t="shared" si="23"/>
        <v>29372.763082774734</v>
      </c>
    </row>
    <row r="19" spans="1:45" ht="23.25">
      <c r="A19" s="104" t="s">
        <v>2329</v>
      </c>
      <c r="B19" s="31" t="s">
        <v>2329</v>
      </c>
      <c r="C19" s="31" t="s">
        <v>2328</v>
      </c>
      <c r="D19" s="43" t="s">
        <v>2328</v>
      </c>
      <c r="E19" s="119" t="s">
        <v>2528</v>
      </c>
      <c r="F19" s="44" t="s">
        <v>2529</v>
      </c>
      <c r="G19" s="43" t="s">
        <v>487</v>
      </c>
      <c r="H19" s="43" t="str">
        <f t="shared" si="2"/>
        <v>Non-state-owned IMD Bexar</v>
      </c>
      <c r="I19" s="45">
        <f>INDEX('Fee Calc'!M:M,MATCH(C:C,'Fee Calc'!F:F,0))</f>
        <v>8888962.5916112009</v>
      </c>
      <c r="J19" s="45">
        <f>INDEX('Fee Calc'!L:L,MATCH(C:C,'Fee Calc'!F:F,0))</f>
        <v>0</v>
      </c>
      <c r="K19" s="45">
        <f t="shared" si="3"/>
        <v>8888962.5916112009</v>
      </c>
      <c r="L19" s="45">
        <v>-890071.75</v>
      </c>
      <c r="M19" s="45">
        <v>0</v>
      </c>
      <c r="N19" s="45">
        <f t="shared" si="4"/>
        <v>-890071.75</v>
      </c>
      <c r="O19" s="45">
        <v>-1594845.6889578062</v>
      </c>
      <c r="P19" s="45">
        <v>0</v>
      </c>
      <c r="Q19" s="45">
        <f t="shared" si="5"/>
        <v>-1594845.6889578062</v>
      </c>
      <c r="R19" s="45" t="str">
        <f t="shared" si="6"/>
        <v>No</v>
      </c>
      <c r="S19" s="46" t="str">
        <f t="shared" si="7"/>
        <v>No</v>
      </c>
      <c r="T19" s="47">
        <f>ROUND(INDEX(Summary!H:H,MATCH(H:H,Summary!A:A,0)),2)</f>
        <v>7.0000000000000007E-2</v>
      </c>
      <c r="U19" s="47">
        <f>ROUND(INDEX(Summary!I:I,MATCH(H:H,Summary!A:A,0)),2)</f>
        <v>0</v>
      </c>
      <c r="V19" s="81">
        <f t="shared" si="8"/>
        <v>622227.3814127841</v>
      </c>
      <c r="W19" s="81">
        <f t="shared" si="9"/>
        <v>0</v>
      </c>
      <c r="X19" s="45">
        <f t="shared" si="10"/>
        <v>622227.3814127841</v>
      </c>
      <c r="Y19" s="45" t="s">
        <v>2752</v>
      </c>
      <c r="Z19" s="45" t="str">
        <f t="shared" si="11"/>
        <v>No</v>
      </c>
      <c r="AA19" s="45" t="str">
        <f t="shared" si="12"/>
        <v>No</v>
      </c>
      <c r="AB19" s="45" t="str">
        <f t="shared" si="13"/>
        <v>No</v>
      </c>
      <c r="AC19" s="82">
        <f t="shared" si="24"/>
        <v>0</v>
      </c>
      <c r="AD19" s="82">
        <f t="shared" si="25"/>
        <v>0</v>
      </c>
      <c r="AE19" s="45">
        <f t="shared" si="26"/>
        <v>0</v>
      </c>
      <c r="AF19" s="45">
        <f t="shared" si="14"/>
        <v>0</v>
      </c>
      <c r="AG19" s="45">
        <f t="shared" si="15"/>
        <v>0</v>
      </c>
      <c r="AH19" s="47">
        <f>IFERROR(ROUNDDOWN(INDEX('90% of ACR'!K:K,MATCH(H:H,'90% of ACR'!A:A,0))*IF(I19&gt;0,IF(O19&gt;0,$R$4*MAX(O19-V19,0),0),0)/I19,2),0)</f>
        <v>0</v>
      </c>
      <c r="AI19" s="82">
        <f>IFERROR(ROUNDDOWN(INDEX('90% of ACR'!R:R,MATCH(H:H,'90% of ACR'!A:A,0))*IF(J19&gt;0,IF(P19&gt;0,$R$4*MAX(P19-W19,0),0),0)/J19,2),0)</f>
        <v>0</v>
      </c>
      <c r="AJ19" s="45">
        <f t="shared" si="16"/>
        <v>0</v>
      </c>
      <c r="AK19" s="45">
        <f t="shared" si="17"/>
        <v>0</v>
      </c>
      <c r="AL19" s="47">
        <f t="shared" si="18"/>
        <v>7.0000000000000007E-2</v>
      </c>
      <c r="AM19" s="47">
        <f t="shared" si="19"/>
        <v>0</v>
      </c>
      <c r="AN19" s="83">
        <f>IFERROR(INDEX('Fee Calc'!P:P,MATCH(C19,'Fee Calc'!F:F,0)),0)</f>
        <v>622227.3814127841</v>
      </c>
      <c r="AO19" s="83">
        <f>IFERROR(INDEX('Fee Calc'!Q:Q,MATCH(C19,'Fee Calc'!F:F,0)),0)</f>
        <v>37960.82167770301</v>
      </c>
      <c r="AP19" s="83">
        <f t="shared" si="20"/>
        <v>660188.20309048716</v>
      </c>
      <c r="AQ19" s="70">
        <f t="shared" si="21"/>
        <v>281921.48874213692</v>
      </c>
      <c r="AR19" s="70">
        <f t="shared" si="22"/>
        <v>140960.74437106846</v>
      </c>
      <c r="AS19" s="70">
        <f t="shared" si="23"/>
        <v>140960.74437106846</v>
      </c>
    </row>
    <row r="20" spans="1:45">
      <c r="A20" s="104" t="s">
        <v>152</v>
      </c>
      <c r="B20" s="31" t="s">
        <v>152</v>
      </c>
      <c r="C20" s="31" t="s">
        <v>153</v>
      </c>
      <c r="D20" s="43" t="s">
        <v>153</v>
      </c>
      <c r="E20" s="119" t="s">
        <v>2557</v>
      </c>
      <c r="F20" s="44" t="s">
        <v>2291</v>
      </c>
      <c r="G20" s="43" t="s">
        <v>310</v>
      </c>
      <c r="H20" s="43" t="str">
        <f t="shared" si="2"/>
        <v>Rural MRSA Northeast</v>
      </c>
      <c r="I20" s="45">
        <f>INDEX('Fee Calc'!M:M,MATCH(C:C,'Fee Calc'!F:F,0))</f>
        <v>657889.52703610365</v>
      </c>
      <c r="J20" s="45">
        <f>INDEX('Fee Calc'!L:L,MATCH(C:C,'Fee Calc'!F:F,0))</f>
        <v>1111466.1205793463</v>
      </c>
      <c r="K20" s="45">
        <f t="shared" si="3"/>
        <v>1769355.64761545</v>
      </c>
      <c r="L20" s="45">
        <v>156444.29999999999</v>
      </c>
      <c r="M20" s="45">
        <v>449303.03</v>
      </c>
      <c r="N20" s="45">
        <f t="shared" si="4"/>
        <v>605747.33000000007</v>
      </c>
      <c r="O20" s="45">
        <v>86381.920548603754</v>
      </c>
      <c r="P20" s="45">
        <v>526249.39968393301</v>
      </c>
      <c r="Q20" s="45">
        <f t="shared" si="5"/>
        <v>612631.32023253676</v>
      </c>
      <c r="R20" s="45" t="str">
        <f t="shared" si="6"/>
        <v>Yes</v>
      </c>
      <c r="S20" s="46" t="str">
        <f t="shared" si="7"/>
        <v>Yes</v>
      </c>
      <c r="T20" s="47">
        <f>ROUND(INDEX(Summary!H:H,MATCH(H:H,Summary!A:A,0)),2)</f>
        <v>0</v>
      </c>
      <c r="U20" s="47">
        <f>ROUND(INDEX(Summary!I:I,MATCH(H:H,Summary!A:A,0)),2)</f>
        <v>0.3</v>
      </c>
      <c r="V20" s="81">
        <f t="shared" si="8"/>
        <v>0</v>
      </c>
      <c r="W20" s="81">
        <f t="shared" si="9"/>
        <v>333439.83617380389</v>
      </c>
      <c r="X20" s="45">
        <f t="shared" si="10"/>
        <v>333439.83617380389</v>
      </c>
      <c r="Y20" s="45" t="s">
        <v>2752</v>
      </c>
      <c r="Z20" s="45" t="str">
        <f t="shared" si="11"/>
        <v>Yes</v>
      </c>
      <c r="AA20" s="45" t="str">
        <f t="shared" si="12"/>
        <v>Yes</v>
      </c>
      <c r="AB20" s="45" t="str">
        <f t="shared" si="13"/>
        <v>Yes</v>
      </c>
      <c r="AC20" s="82">
        <f t="shared" si="24"/>
        <v>0.09</v>
      </c>
      <c r="AD20" s="82">
        <f t="shared" si="25"/>
        <v>0.12</v>
      </c>
      <c r="AE20" s="45">
        <f t="shared" si="26"/>
        <v>59210.057433249327</v>
      </c>
      <c r="AF20" s="45">
        <f t="shared" si="14"/>
        <v>133375.93446952154</v>
      </c>
      <c r="AG20" s="45">
        <f t="shared" si="15"/>
        <v>192585.99190277088</v>
      </c>
      <c r="AH20" s="47">
        <f>IFERROR(ROUNDDOWN(INDEX('90% of ACR'!K:K,MATCH(H:H,'90% of ACR'!A:A,0))*IF(I20&gt;0,IF(O20&gt;0,$R$4*MAX(O20-V20,0),0),0)/I20,2),0)</f>
        <v>0.06</v>
      </c>
      <c r="AI20" s="82">
        <f>IFERROR(ROUNDDOWN(INDEX('90% of ACR'!R:R,MATCH(H:H,'90% of ACR'!A:A,0))*IF(J20&gt;0,IF(P20&gt;0,$R$4*MAX(P20-W20,0),0),0)/J20,2),0)</f>
        <v>0.12</v>
      </c>
      <c r="AJ20" s="45">
        <f t="shared" si="16"/>
        <v>39473.371622166218</v>
      </c>
      <c r="AK20" s="45">
        <f t="shared" si="17"/>
        <v>133375.93446952154</v>
      </c>
      <c r="AL20" s="47">
        <f t="shared" si="18"/>
        <v>0.06</v>
      </c>
      <c r="AM20" s="47">
        <f t="shared" si="19"/>
        <v>0.42</v>
      </c>
      <c r="AN20" s="83">
        <f>IFERROR(INDEX('Fee Calc'!P:P,MATCH(C20,'Fee Calc'!F:F,0)),0)</f>
        <v>506289.14226549165</v>
      </c>
      <c r="AO20" s="83">
        <f>IFERROR(INDEX('Fee Calc'!Q:Q,MATCH(C20,'Fee Calc'!F:F,0)),0)</f>
        <v>31051.313124732926</v>
      </c>
      <c r="AP20" s="83">
        <f t="shared" si="20"/>
        <v>537340.45539022458</v>
      </c>
      <c r="AQ20" s="70">
        <f t="shared" si="21"/>
        <v>229461.56934619838</v>
      </c>
      <c r="AR20" s="70">
        <f t="shared" si="22"/>
        <v>114730.78467309919</v>
      </c>
      <c r="AS20" s="70">
        <f t="shared" si="23"/>
        <v>114730.78467309919</v>
      </c>
    </row>
    <row r="21" spans="1:45">
      <c r="A21" s="104" t="s">
        <v>765</v>
      </c>
      <c r="B21" s="31" t="s">
        <v>765</v>
      </c>
      <c r="C21" s="31" t="s">
        <v>766</v>
      </c>
      <c r="D21" s="43" t="s">
        <v>766</v>
      </c>
      <c r="E21" s="119" t="s">
        <v>2548</v>
      </c>
      <c r="F21" s="44" t="s">
        <v>2291</v>
      </c>
      <c r="G21" s="43" t="s">
        <v>227</v>
      </c>
      <c r="H21" s="43" t="str">
        <f t="shared" si="2"/>
        <v>Rural MRSA West</v>
      </c>
      <c r="I21" s="45">
        <f>INDEX('Fee Calc'!M:M,MATCH(C:C,'Fee Calc'!F:F,0))</f>
        <v>526527.93075941643</v>
      </c>
      <c r="J21" s="45">
        <f>INDEX('Fee Calc'!L:L,MATCH(C:C,'Fee Calc'!F:F,0))</f>
        <v>684369.29259725916</v>
      </c>
      <c r="K21" s="45">
        <f t="shared" si="3"/>
        <v>1210897.2233566756</v>
      </c>
      <c r="L21" s="45">
        <v>687215.26</v>
      </c>
      <c r="M21" s="45">
        <v>5151.53</v>
      </c>
      <c r="N21" s="45">
        <f t="shared" si="4"/>
        <v>692366.79</v>
      </c>
      <c r="O21" s="45">
        <v>48720.370365171664</v>
      </c>
      <c r="P21" s="45">
        <v>-25325.083110267471</v>
      </c>
      <c r="Q21" s="45">
        <f t="shared" si="5"/>
        <v>23395.287254904193</v>
      </c>
      <c r="R21" s="45" t="str">
        <f t="shared" si="6"/>
        <v>Yes</v>
      </c>
      <c r="S21" s="46" t="str">
        <f t="shared" si="7"/>
        <v>No</v>
      </c>
      <c r="T21" s="47">
        <f>ROUND(INDEX(Summary!H:H,MATCH(H:H,Summary!A:A,0)),2)</f>
        <v>0</v>
      </c>
      <c r="U21" s="47">
        <f>ROUND(INDEX(Summary!I:I,MATCH(H:H,Summary!A:A,0)),2)</f>
        <v>0.2</v>
      </c>
      <c r="V21" s="81">
        <f t="shared" si="8"/>
        <v>0</v>
      </c>
      <c r="W21" s="81">
        <f t="shared" si="9"/>
        <v>136873.85851945184</v>
      </c>
      <c r="X21" s="45">
        <f t="shared" si="10"/>
        <v>136873.85851945184</v>
      </c>
      <c r="Y21" s="45" t="s">
        <v>2752</v>
      </c>
      <c r="Z21" s="45" t="str">
        <f t="shared" si="11"/>
        <v>No</v>
      </c>
      <c r="AA21" s="45" t="str">
        <f t="shared" si="12"/>
        <v>No</v>
      </c>
      <c r="AB21" s="45" t="str">
        <f t="shared" si="13"/>
        <v>Yes</v>
      </c>
      <c r="AC21" s="82">
        <f t="shared" si="24"/>
        <v>0.06</v>
      </c>
      <c r="AD21" s="82">
        <f t="shared" si="25"/>
        <v>0</v>
      </c>
      <c r="AE21" s="45">
        <f t="shared" si="26"/>
        <v>31591.675845564983</v>
      </c>
      <c r="AF21" s="45">
        <f t="shared" si="14"/>
        <v>0</v>
      </c>
      <c r="AG21" s="45">
        <f t="shared" si="15"/>
        <v>31591.675845564983</v>
      </c>
      <c r="AH21" s="47">
        <f>IFERROR(ROUNDDOWN(INDEX('90% of ACR'!K:K,MATCH(H:H,'90% of ACR'!A:A,0))*IF(I21&gt;0,IF(O21&gt;0,$R$4*MAX(O21-V21,0),0),0)/I21,2),0)</f>
        <v>0</v>
      </c>
      <c r="AI21" s="82">
        <f>IFERROR(ROUNDDOWN(INDEX('90% of ACR'!R:R,MATCH(H:H,'90% of ACR'!A:A,0))*IF(J21&gt;0,IF(P21&gt;0,$R$4*MAX(P21-W21,0),0),0)/J21,2),0)</f>
        <v>0</v>
      </c>
      <c r="AJ21" s="45">
        <f t="shared" si="16"/>
        <v>0</v>
      </c>
      <c r="AK21" s="45">
        <f t="shared" si="17"/>
        <v>0</v>
      </c>
      <c r="AL21" s="47">
        <f t="shared" si="18"/>
        <v>0</v>
      </c>
      <c r="AM21" s="47">
        <f t="shared" si="19"/>
        <v>0.2</v>
      </c>
      <c r="AN21" s="83">
        <f>IFERROR(INDEX('Fee Calc'!P:P,MATCH(C21,'Fee Calc'!F:F,0)),0)</f>
        <v>136873.85851945184</v>
      </c>
      <c r="AO21" s="83">
        <f>IFERROR(INDEX('Fee Calc'!Q:Q,MATCH(C21,'Fee Calc'!F:F,0)),0)</f>
        <v>8385.2159942342387</v>
      </c>
      <c r="AP21" s="83">
        <f t="shared" si="20"/>
        <v>145259.07451368606</v>
      </c>
      <c r="AQ21" s="70">
        <f t="shared" si="21"/>
        <v>62030.27310772839</v>
      </c>
      <c r="AR21" s="70">
        <f t="shared" si="22"/>
        <v>31015.136553864195</v>
      </c>
      <c r="AS21" s="70">
        <f t="shared" si="23"/>
        <v>31015.136553864195</v>
      </c>
    </row>
    <row r="22" spans="1:45">
      <c r="A22" s="104" t="s">
        <v>590</v>
      </c>
      <c r="B22" s="31" t="s">
        <v>590</v>
      </c>
      <c r="C22" s="31" t="s">
        <v>591</v>
      </c>
      <c r="D22" s="43" t="s">
        <v>591</v>
      </c>
      <c r="E22" s="119" t="s">
        <v>2546</v>
      </c>
      <c r="F22" s="44" t="s">
        <v>2279</v>
      </c>
      <c r="G22" s="43" t="s">
        <v>1514</v>
      </c>
      <c r="H22" s="43" t="str">
        <f t="shared" si="2"/>
        <v>Urban Hidalgo</v>
      </c>
      <c r="I22" s="45">
        <f>INDEX('Fee Calc'!M:M,MATCH(C:C,'Fee Calc'!F:F,0))</f>
        <v>7537343.0454444196</v>
      </c>
      <c r="J22" s="45">
        <f>INDEX('Fee Calc'!L:L,MATCH(C:C,'Fee Calc'!F:F,0))</f>
        <v>9049149.6743372194</v>
      </c>
      <c r="K22" s="45">
        <f t="shared" si="3"/>
        <v>16586492.719781639</v>
      </c>
      <c r="L22" s="45">
        <v>7854393.1900000004</v>
      </c>
      <c r="M22" s="45">
        <v>702707.06</v>
      </c>
      <c r="N22" s="45">
        <f t="shared" si="4"/>
        <v>8557100.25</v>
      </c>
      <c r="O22" s="45">
        <v>11803121.656939115</v>
      </c>
      <c r="P22" s="45">
        <v>3420841.0069127111</v>
      </c>
      <c r="Q22" s="45">
        <f t="shared" si="5"/>
        <v>15223962.663851827</v>
      </c>
      <c r="R22" s="45" t="str">
        <f t="shared" si="6"/>
        <v>Yes</v>
      </c>
      <c r="S22" s="46" t="str">
        <f t="shared" si="7"/>
        <v>Yes</v>
      </c>
      <c r="T22" s="47">
        <f>ROUND(INDEX(Summary!H:H,MATCH(H:H,Summary!A:A,0)),2)</f>
        <v>0.63</v>
      </c>
      <c r="U22" s="47">
        <f>ROUND(INDEX(Summary!I:I,MATCH(H:H,Summary!A:A,0)),2)</f>
        <v>0.48</v>
      </c>
      <c r="V22" s="81">
        <f t="shared" si="8"/>
        <v>4748526.1186299846</v>
      </c>
      <c r="W22" s="81">
        <f t="shared" si="9"/>
        <v>4343591.8436818654</v>
      </c>
      <c r="X22" s="45">
        <f t="shared" si="10"/>
        <v>9092117.962311849</v>
      </c>
      <c r="Y22" s="45" t="s">
        <v>2752</v>
      </c>
      <c r="Z22" s="45" t="str">
        <f t="shared" si="11"/>
        <v>Yes</v>
      </c>
      <c r="AA22" s="45" t="str">
        <f t="shared" si="12"/>
        <v>No</v>
      </c>
      <c r="AB22" s="45" t="str">
        <f t="shared" si="13"/>
        <v>Yes</v>
      </c>
      <c r="AC22" s="82">
        <f t="shared" si="24"/>
        <v>0.65</v>
      </c>
      <c r="AD22" s="82">
        <f t="shared" si="25"/>
        <v>0</v>
      </c>
      <c r="AE22" s="45">
        <f t="shared" si="26"/>
        <v>4899272.9795388728</v>
      </c>
      <c r="AF22" s="45">
        <f t="shared" si="14"/>
        <v>0</v>
      </c>
      <c r="AG22" s="45">
        <f t="shared" si="15"/>
        <v>4899272.9795388728</v>
      </c>
      <c r="AH22" s="47">
        <f>IFERROR(ROUNDDOWN(INDEX('90% of ACR'!K:K,MATCH(H:H,'90% of ACR'!A:A,0))*IF(I22&gt;0,IF(O22&gt;0,$R$4*MAX(O22-V22,0),0),0)/I22,2),0)</f>
        <v>0.65</v>
      </c>
      <c r="AI22" s="82">
        <f>IFERROR(ROUNDDOWN(INDEX('90% of ACR'!R:R,MATCH(H:H,'90% of ACR'!A:A,0))*IF(J22&gt;0,IF(P22&gt;0,$R$4*MAX(P22-W22,0),0),0)/J22,2),0)</f>
        <v>0</v>
      </c>
      <c r="AJ22" s="45">
        <f t="shared" si="16"/>
        <v>4899272.9795388728</v>
      </c>
      <c r="AK22" s="45">
        <f t="shared" si="17"/>
        <v>0</v>
      </c>
      <c r="AL22" s="47">
        <f t="shared" si="18"/>
        <v>1.28</v>
      </c>
      <c r="AM22" s="47">
        <f t="shared" si="19"/>
        <v>0.48</v>
      </c>
      <c r="AN22" s="83">
        <f>IFERROR(INDEX('Fee Calc'!P:P,MATCH(C22,'Fee Calc'!F:F,0)),0)</f>
        <v>13991390.941850722</v>
      </c>
      <c r="AO22" s="83">
        <f>IFERROR(INDEX('Fee Calc'!Q:Q,MATCH(C22,'Fee Calc'!F:F,0)),0)</f>
        <v>858906.83714971936</v>
      </c>
      <c r="AP22" s="83">
        <f t="shared" si="20"/>
        <v>14850297.779000441</v>
      </c>
      <c r="AQ22" s="70">
        <f t="shared" si="21"/>
        <v>6341552.3611621168</v>
      </c>
      <c r="AR22" s="70">
        <f t="shared" si="22"/>
        <v>3170776.1805810584</v>
      </c>
      <c r="AS22" s="70">
        <f t="shared" si="23"/>
        <v>3170776.1805810584</v>
      </c>
    </row>
    <row r="23" spans="1:45" ht="23.25">
      <c r="A23" s="104" t="s">
        <v>1495</v>
      </c>
      <c r="B23" s="31" t="s">
        <v>1495</v>
      </c>
      <c r="C23" s="31" t="s">
        <v>1496</v>
      </c>
      <c r="D23" s="43" t="s">
        <v>1496</v>
      </c>
      <c r="E23" s="119" t="s">
        <v>2532</v>
      </c>
      <c r="F23" s="44" t="s">
        <v>2529</v>
      </c>
      <c r="G23" s="43" t="s">
        <v>1189</v>
      </c>
      <c r="H23" s="43" t="str">
        <f t="shared" si="2"/>
        <v>Non-state-owned IMD El Paso</v>
      </c>
      <c r="I23" s="45">
        <f>INDEX('Fee Calc'!M:M,MATCH(C:C,'Fee Calc'!F:F,0))</f>
        <v>1111777.1805466441</v>
      </c>
      <c r="J23" s="45">
        <f>INDEX('Fee Calc'!L:L,MATCH(C:C,'Fee Calc'!F:F,0))</f>
        <v>0</v>
      </c>
      <c r="K23" s="45">
        <f t="shared" si="3"/>
        <v>1111777.1805466441</v>
      </c>
      <c r="L23" s="45">
        <v>98360.08</v>
      </c>
      <c r="M23" s="45">
        <v>0</v>
      </c>
      <c r="N23" s="45">
        <f t="shared" si="4"/>
        <v>98360.08</v>
      </c>
      <c r="O23" s="45">
        <v>-48391.143861720106</v>
      </c>
      <c r="P23" s="45">
        <v>0</v>
      </c>
      <c r="Q23" s="45">
        <f t="shared" si="5"/>
        <v>-48391.143861720106</v>
      </c>
      <c r="R23" s="45" t="str">
        <f t="shared" si="6"/>
        <v>No</v>
      </c>
      <c r="S23" s="46" t="str">
        <f t="shared" si="7"/>
        <v>No</v>
      </c>
      <c r="T23" s="47">
        <f>ROUND(INDEX(Summary!H:H,MATCH(H:H,Summary!A:A,0)),2)</f>
        <v>0.02</v>
      </c>
      <c r="U23" s="47">
        <f>ROUND(INDEX(Summary!I:I,MATCH(H:H,Summary!A:A,0)),2)</f>
        <v>0</v>
      </c>
      <c r="V23" s="81">
        <f t="shared" si="8"/>
        <v>22235.543610932884</v>
      </c>
      <c r="W23" s="81">
        <f t="shared" si="9"/>
        <v>0</v>
      </c>
      <c r="X23" s="45">
        <f t="shared" si="10"/>
        <v>22235.543610932884</v>
      </c>
      <c r="Y23" s="45" t="s">
        <v>2752</v>
      </c>
      <c r="Z23" s="45" t="str">
        <f t="shared" si="11"/>
        <v>No</v>
      </c>
      <c r="AA23" s="45" t="str">
        <f t="shared" si="12"/>
        <v>No</v>
      </c>
      <c r="AB23" s="45" t="str">
        <f t="shared" si="13"/>
        <v>No</v>
      </c>
      <c r="AC23" s="82">
        <f t="shared" si="24"/>
        <v>0</v>
      </c>
      <c r="AD23" s="82">
        <f t="shared" si="25"/>
        <v>0</v>
      </c>
      <c r="AE23" s="45">
        <f t="shared" si="26"/>
        <v>0</v>
      </c>
      <c r="AF23" s="45">
        <f t="shared" si="14"/>
        <v>0</v>
      </c>
      <c r="AG23" s="45">
        <f t="shared" si="15"/>
        <v>0</v>
      </c>
      <c r="AH23" s="47">
        <f>IFERROR(ROUNDDOWN(INDEX('90% of ACR'!K:K,MATCH(H:H,'90% of ACR'!A:A,0))*IF(I23&gt;0,IF(O23&gt;0,$R$4*MAX(O23-V23,0),0),0)/I23,2),0)</f>
        <v>0</v>
      </c>
      <c r="AI23" s="82">
        <f>IFERROR(ROUNDDOWN(INDEX('90% of ACR'!R:R,MATCH(H:H,'90% of ACR'!A:A,0))*IF(J23&gt;0,IF(P23&gt;0,$R$4*MAX(P23-W23,0),0),0)/J23,2),0)</f>
        <v>0</v>
      </c>
      <c r="AJ23" s="45">
        <f t="shared" si="16"/>
        <v>0</v>
      </c>
      <c r="AK23" s="45">
        <f t="shared" si="17"/>
        <v>0</v>
      </c>
      <c r="AL23" s="47">
        <f t="shared" si="18"/>
        <v>0.02</v>
      </c>
      <c r="AM23" s="47">
        <f t="shared" si="19"/>
        <v>0</v>
      </c>
      <c r="AN23" s="83">
        <f>IFERROR(INDEX('Fee Calc'!P:P,MATCH(C23,'Fee Calc'!F:F,0)),0)</f>
        <v>22235.543610932884</v>
      </c>
      <c r="AO23" s="83">
        <f>IFERROR(INDEX('Fee Calc'!Q:Q,MATCH(C23,'Fee Calc'!F:F,0)),0)</f>
        <v>1356.5451009322451</v>
      </c>
      <c r="AP23" s="83">
        <f t="shared" si="20"/>
        <v>23592.08871186513</v>
      </c>
      <c r="AQ23" s="70">
        <f t="shared" si="21"/>
        <v>10074.576826805191</v>
      </c>
      <c r="AR23" s="70">
        <f t="shared" si="22"/>
        <v>5037.2884134025953</v>
      </c>
      <c r="AS23" s="70">
        <f t="shared" si="23"/>
        <v>5037.2884134025953</v>
      </c>
    </row>
    <row r="24" spans="1:45">
      <c r="A24" s="104" t="s">
        <v>1318</v>
      </c>
      <c r="B24" s="31" t="s">
        <v>1318</v>
      </c>
      <c r="C24" s="31" t="s">
        <v>1319</v>
      </c>
      <c r="D24" s="43" t="s">
        <v>1319</v>
      </c>
      <c r="E24" s="119" t="s">
        <v>2567</v>
      </c>
      <c r="F24" s="44" t="s">
        <v>2279</v>
      </c>
      <c r="G24" s="43" t="s">
        <v>1514</v>
      </c>
      <c r="H24" s="43" t="str">
        <f t="shared" si="2"/>
        <v>Urban Hidalgo</v>
      </c>
      <c r="I24" s="45">
        <f>INDEX('Fee Calc'!M:M,MATCH(C:C,'Fee Calc'!F:F,0))</f>
        <v>67934810.541887999</v>
      </c>
      <c r="J24" s="45">
        <f>INDEX('Fee Calc'!L:L,MATCH(C:C,'Fee Calc'!F:F,0))</f>
        <v>26307628.008190464</v>
      </c>
      <c r="K24" s="45">
        <f t="shared" si="3"/>
        <v>94242438.550078467</v>
      </c>
      <c r="L24" s="45">
        <v>53083484.229999997</v>
      </c>
      <c r="M24" s="45">
        <v>15698179.359999999</v>
      </c>
      <c r="N24" s="45">
        <f t="shared" si="4"/>
        <v>68781663.590000004</v>
      </c>
      <c r="O24" s="45">
        <v>58528276.014925346</v>
      </c>
      <c r="P24" s="45">
        <v>12667185.086439766</v>
      </c>
      <c r="Q24" s="45">
        <f t="shared" si="5"/>
        <v>71195461.101365119</v>
      </c>
      <c r="R24" s="45" t="str">
        <f t="shared" si="6"/>
        <v>Yes</v>
      </c>
      <c r="S24" s="46" t="str">
        <f t="shared" si="7"/>
        <v>Yes</v>
      </c>
      <c r="T24" s="47">
        <f>ROUND(INDEX(Summary!H:H,MATCH(H:H,Summary!A:A,0)),2)</f>
        <v>0.63</v>
      </c>
      <c r="U24" s="47">
        <f>ROUND(INDEX(Summary!I:I,MATCH(H:H,Summary!A:A,0)),2)</f>
        <v>0.48</v>
      </c>
      <c r="V24" s="81">
        <f t="shared" si="8"/>
        <v>42798930.641389437</v>
      </c>
      <c r="W24" s="81">
        <f t="shared" si="9"/>
        <v>12627661.443931423</v>
      </c>
      <c r="X24" s="45">
        <f t="shared" si="10"/>
        <v>55426592.08532086</v>
      </c>
      <c r="Y24" s="45" t="s">
        <v>2752</v>
      </c>
      <c r="Z24" s="45" t="str">
        <f t="shared" si="11"/>
        <v>Yes</v>
      </c>
      <c r="AA24" s="45" t="str">
        <f t="shared" si="12"/>
        <v>No</v>
      </c>
      <c r="AB24" s="45" t="str">
        <f t="shared" si="13"/>
        <v>Yes</v>
      </c>
      <c r="AC24" s="82">
        <f t="shared" si="24"/>
        <v>0.16</v>
      </c>
      <c r="AD24" s="82">
        <f t="shared" si="25"/>
        <v>0</v>
      </c>
      <c r="AE24" s="45">
        <f t="shared" si="26"/>
        <v>10869569.68670208</v>
      </c>
      <c r="AF24" s="45">
        <f t="shared" si="14"/>
        <v>0</v>
      </c>
      <c r="AG24" s="45">
        <f t="shared" si="15"/>
        <v>10869569.68670208</v>
      </c>
      <c r="AH24" s="47">
        <f>IFERROR(ROUNDDOWN(INDEX('90% of ACR'!K:K,MATCH(H:H,'90% of ACR'!A:A,0))*IF(I24&gt;0,IF(O24&gt;0,$R$4*MAX(O24-V24,0),0),0)/I24,2),0)</f>
        <v>0.16</v>
      </c>
      <c r="AI24" s="82">
        <f>IFERROR(ROUNDDOWN(INDEX('90% of ACR'!R:R,MATCH(H:H,'90% of ACR'!A:A,0))*IF(J24&gt;0,IF(P24&gt;0,$R$4*MAX(P24-W24,0),0),0)/J24,2),0)</f>
        <v>0</v>
      </c>
      <c r="AJ24" s="45">
        <f t="shared" si="16"/>
        <v>10869569.68670208</v>
      </c>
      <c r="AK24" s="45">
        <f t="shared" si="17"/>
        <v>0</v>
      </c>
      <c r="AL24" s="47">
        <f t="shared" si="18"/>
        <v>0.79</v>
      </c>
      <c r="AM24" s="47">
        <f t="shared" si="19"/>
        <v>0.48</v>
      </c>
      <c r="AN24" s="83">
        <f>IFERROR(INDEX('Fee Calc'!P:P,MATCH(C24,'Fee Calc'!F:F,0)),0)</f>
        <v>66296161.772022948</v>
      </c>
      <c r="AO24" s="83">
        <f>IFERROR(INDEX('Fee Calc'!Q:Q,MATCH(C24,'Fee Calc'!F:F,0)),0)</f>
        <v>4069173.9128953349</v>
      </c>
      <c r="AP24" s="83">
        <f t="shared" si="20"/>
        <v>70365335.684918284</v>
      </c>
      <c r="AQ24" s="70">
        <f t="shared" si="21"/>
        <v>30048250.028202023</v>
      </c>
      <c r="AR24" s="70">
        <f t="shared" si="22"/>
        <v>15024125.014101012</v>
      </c>
      <c r="AS24" s="70">
        <f t="shared" si="23"/>
        <v>15024125.014101012</v>
      </c>
    </row>
    <row r="25" spans="1:45">
      <c r="A25" s="104" t="s">
        <v>735</v>
      </c>
      <c r="B25" s="31" t="s">
        <v>735</v>
      </c>
      <c r="C25" s="31" t="s">
        <v>736</v>
      </c>
      <c r="D25" s="43" t="s">
        <v>736</v>
      </c>
      <c r="E25" s="119" t="s">
        <v>2590</v>
      </c>
      <c r="F25" s="44" t="s">
        <v>2291</v>
      </c>
      <c r="G25" s="43" t="s">
        <v>227</v>
      </c>
      <c r="H25" s="43" t="str">
        <f t="shared" si="2"/>
        <v>Rural MRSA West</v>
      </c>
      <c r="I25" s="45">
        <f>INDEX('Fee Calc'!M:M,MATCH(C:C,'Fee Calc'!F:F,0))</f>
        <v>61073.862211750209</v>
      </c>
      <c r="J25" s="45">
        <f>INDEX('Fee Calc'!L:L,MATCH(C:C,'Fee Calc'!F:F,0))</f>
        <v>439574.44237937371</v>
      </c>
      <c r="K25" s="45">
        <f t="shared" si="3"/>
        <v>500648.30459112395</v>
      </c>
      <c r="L25" s="45">
        <v>6007.01</v>
      </c>
      <c r="M25" s="45">
        <v>-44971.14</v>
      </c>
      <c r="N25" s="45">
        <f t="shared" si="4"/>
        <v>-38964.129999999997</v>
      </c>
      <c r="O25" s="45">
        <v>-11749.130223764354</v>
      </c>
      <c r="P25" s="45">
        <v>-38187.110748325213</v>
      </c>
      <c r="Q25" s="45">
        <f t="shared" si="5"/>
        <v>-49936.240972089567</v>
      </c>
      <c r="R25" s="45" t="str">
        <f t="shared" si="6"/>
        <v>No</v>
      </c>
      <c r="S25" s="46" t="str">
        <f t="shared" si="7"/>
        <v>No</v>
      </c>
      <c r="T25" s="47">
        <f>ROUND(INDEX(Summary!H:H,MATCH(H:H,Summary!A:A,0)),2)</f>
        <v>0</v>
      </c>
      <c r="U25" s="47">
        <f>ROUND(INDEX(Summary!I:I,MATCH(H:H,Summary!A:A,0)),2)</f>
        <v>0.2</v>
      </c>
      <c r="V25" s="81">
        <f t="shared" si="8"/>
        <v>0</v>
      </c>
      <c r="W25" s="81">
        <f t="shared" si="9"/>
        <v>87914.888475874744</v>
      </c>
      <c r="X25" s="45">
        <f t="shared" si="10"/>
        <v>87914.888475874744</v>
      </c>
      <c r="Y25" s="45" t="s">
        <v>2753</v>
      </c>
      <c r="Z25" s="45" t="str">
        <f t="shared" si="11"/>
        <v>No</v>
      </c>
      <c r="AA25" s="45" t="str">
        <f t="shared" si="12"/>
        <v>No</v>
      </c>
      <c r="AB25" s="45" t="str">
        <f t="shared" si="13"/>
        <v>No</v>
      </c>
      <c r="AC25" s="82">
        <f t="shared" si="24"/>
        <v>0</v>
      </c>
      <c r="AD25" s="82">
        <f t="shared" si="25"/>
        <v>0</v>
      </c>
      <c r="AE25" s="45">
        <f t="shared" si="26"/>
        <v>0</v>
      </c>
      <c r="AF25" s="45">
        <f t="shared" si="14"/>
        <v>0</v>
      </c>
      <c r="AG25" s="45">
        <f t="shared" si="15"/>
        <v>0</v>
      </c>
      <c r="AH25" s="47">
        <f>IFERROR(ROUNDDOWN(INDEX('90% of ACR'!K:K,MATCH(H:H,'90% of ACR'!A:A,0))*IF(I25&gt;0,IF(O25&gt;0,$R$4*MAX(O25-V25,0),0),0)/I25,2),0)</f>
        <v>0</v>
      </c>
      <c r="AI25" s="82">
        <f>IFERROR(ROUNDDOWN(INDEX('90% of ACR'!R:R,MATCH(H:H,'90% of ACR'!A:A,0))*IF(J25&gt;0,IF(P25&gt;0,$R$4*MAX(P25-W25,0),0),0)/J25,2),0)</f>
        <v>0</v>
      </c>
      <c r="AJ25" s="45">
        <f t="shared" si="16"/>
        <v>0</v>
      </c>
      <c r="AK25" s="45">
        <f t="shared" si="17"/>
        <v>0</v>
      </c>
      <c r="AL25" s="47">
        <f t="shared" si="18"/>
        <v>0</v>
      </c>
      <c r="AM25" s="47">
        <f t="shared" si="19"/>
        <v>0.2</v>
      </c>
      <c r="AN25" s="83">
        <f>IFERROR(INDEX('Fee Calc'!P:P,MATCH(C25,'Fee Calc'!F:F,0)),0)</f>
        <v>87914.888475874744</v>
      </c>
      <c r="AO25" s="83">
        <f>IFERROR(INDEX('Fee Calc'!Q:Q,MATCH(C25,'Fee Calc'!F:F,0)),0)</f>
        <v>5426.8536821891958</v>
      </c>
      <c r="AP25" s="83">
        <f t="shared" si="20"/>
        <v>93341.742158063935</v>
      </c>
      <c r="AQ25" s="70">
        <f t="shared" si="21"/>
        <v>39859.910837242358</v>
      </c>
      <c r="AR25" s="70">
        <f t="shared" si="22"/>
        <v>19929.955418621179</v>
      </c>
      <c r="AS25" s="70">
        <f t="shared" si="23"/>
        <v>19929.955418621179</v>
      </c>
    </row>
    <row r="26" spans="1:45" ht="23.25">
      <c r="A26" s="104" t="s">
        <v>1584</v>
      </c>
      <c r="B26" s="31" t="s">
        <v>1584</v>
      </c>
      <c r="C26" s="31" t="s">
        <v>1585</v>
      </c>
      <c r="D26" s="43" t="s">
        <v>1585</v>
      </c>
      <c r="E26" s="119" t="s">
        <v>2786</v>
      </c>
      <c r="F26" s="44" t="s">
        <v>2949</v>
      </c>
      <c r="G26" s="43" t="s">
        <v>300</v>
      </c>
      <c r="H26" s="43" t="str">
        <f t="shared" si="2"/>
        <v>State-owned non-IMD Harris</v>
      </c>
      <c r="I26" s="45">
        <f>INDEX('Fee Calc'!M:M,MATCH(C:C,'Fee Calc'!F:F,0))</f>
        <v>121190141.46450198</v>
      </c>
      <c r="J26" s="45">
        <f>INDEX('Fee Calc'!L:L,MATCH(C:C,'Fee Calc'!F:F,0))</f>
        <v>71901603.473336816</v>
      </c>
      <c r="K26" s="45">
        <f t="shared" si="3"/>
        <v>193091744.93783879</v>
      </c>
      <c r="L26" s="45">
        <v>21845099.210000001</v>
      </c>
      <c r="M26" s="45">
        <v>20207914.949999999</v>
      </c>
      <c r="N26" s="45">
        <f t="shared" si="4"/>
        <v>42053014.159999996</v>
      </c>
      <c r="O26" s="45">
        <v>21253747.66284135</v>
      </c>
      <c r="P26" s="45">
        <v>20989502.10609125</v>
      </c>
      <c r="Q26" s="45">
        <f t="shared" si="5"/>
        <v>42243249.768932596</v>
      </c>
      <c r="R26" s="45" t="str">
        <f t="shared" si="6"/>
        <v>Yes</v>
      </c>
      <c r="S26" s="46" t="str">
        <f t="shared" si="7"/>
        <v>Yes</v>
      </c>
      <c r="T26" s="47">
        <f>ROUND(INDEX(Summary!H:H,MATCH(H:H,Summary!A:A,0)),2)</f>
        <v>0.18</v>
      </c>
      <c r="U26" s="47">
        <f>ROUND(INDEX(Summary!I:I,MATCH(H:H,Summary!A:A,0)),2)</f>
        <v>0.28000000000000003</v>
      </c>
      <c r="V26" s="81">
        <f t="shared" si="8"/>
        <v>21814225.463610355</v>
      </c>
      <c r="W26" s="81">
        <f t="shared" si="9"/>
        <v>20132448.97253431</v>
      </c>
      <c r="X26" s="45">
        <f t="shared" si="10"/>
        <v>41946674.436144665</v>
      </c>
      <c r="Y26" s="45" t="s">
        <v>2752</v>
      </c>
      <c r="Z26" s="45" t="str">
        <f t="shared" si="11"/>
        <v>No</v>
      </c>
      <c r="AA26" s="45" t="str">
        <f t="shared" si="12"/>
        <v>No</v>
      </c>
      <c r="AB26" s="45" t="str">
        <f t="shared" si="13"/>
        <v>Yes</v>
      </c>
      <c r="AC26" s="82">
        <f t="shared" si="24"/>
        <v>0</v>
      </c>
      <c r="AD26" s="82">
        <f t="shared" si="25"/>
        <v>0.01</v>
      </c>
      <c r="AE26" s="45">
        <f t="shared" si="26"/>
        <v>0</v>
      </c>
      <c r="AF26" s="45">
        <f t="shared" si="14"/>
        <v>719016.0347333682</v>
      </c>
      <c r="AG26" s="45">
        <f t="shared" si="15"/>
        <v>719016.0347333682</v>
      </c>
      <c r="AH26" s="47">
        <f>IFERROR(ROUNDDOWN(INDEX('90% of ACR'!K:K,MATCH(H:H,'90% of ACR'!A:A,0))*IF(I26&gt;0,IF(O26&gt;0,$R$4*MAX(O26-V26,0),0),0)/I26,2),0)</f>
        <v>0</v>
      </c>
      <c r="AI26" s="82">
        <f>IFERROR(ROUNDDOWN(INDEX('90% of ACR'!R:R,MATCH(H:H,'90% of ACR'!A:A,0))*IF(J26&gt;0,IF(P26&gt;0,$R$4*MAX(P26-W26,0),0),0)/J26,2),0)</f>
        <v>0</v>
      </c>
      <c r="AJ26" s="45">
        <f t="shared" si="16"/>
        <v>0</v>
      </c>
      <c r="AK26" s="45">
        <f t="shared" si="17"/>
        <v>0</v>
      </c>
      <c r="AL26" s="47">
        <f t="shared" si="18"/>
        <v>0.18</v>
      </c>
      <c r="AM26" s="47">
        <f t="shared" si="19"/>
        <v>0.28000000000000003</v>
      </c>
      <c r="AN26" s="83">
        <f>IFERROR(INDEX('Fee Calc'!P:P,MATCH(C26,'Fee Calc'!F:F,0)),0)</f>
        <v>41946674.436144665</v>
      </c>
      <c r="AO26" s="83">
        <f>IFERROR(INDEX('Fee Calc'!Q:Q,MATCH(C26,'Fee Calc'!F:F,0)),0)</f>
        <v>2587682.4441453856</v>
      </c>
      <c r="AP26" s="83">
        <f t="shared" si="20"/>
        <v>44534356.880290054</v>
      </c>
      <c r="AQ26" s="70">
        <f t="shared" si="21"/>
        <v>19017595.487304024</v>
      </c>
      <c r="AR26" s="70">
        <f t="shared" si="22"/>
        <v>9508797.7436520122</v>
      </c>
      <c r="AS26" s="70">
        <f t="shared" si="23"/>
        <v>9508797.7436520122</v>
      </c>
    </row>
    <row r="27" spans="1:45">
      <c r="A27" s="104" t="s">
        <v>1568</v>
      </c>
      <c r="B27" s="31" t="s">
        <v>2694</v>
      </c>
      <c r="C27" s="31" t="s">
        <v>1617</v>
      </c>
      <c r="D27" s="43" t="s">
        <v>1617</v>
      </c>
      <c r="E27" s="119" t="s">
        <v>2787</v>
      </c>
      <c r="F27" s="44" t="s">
        <v>2279</v>
      </c>
      <c r="G27" s="43" t="s">
        <v>310</v>
      </c>
      <c r="H27" s="43" t="str">
        <f t="shared" si="2"/>
        <v>Urban MRSA Northeast</v>
      </c>
      <c r="I27" s="45">
        <f>INDEX('Fee Calc'!M:M,MATCH(C:C,'Fee Calc'!F:F,0))</f>
        <v>2930461.5893402109</v>
      </c>
      <c r="J27" s="45">
        <f>INDEX('Fee Calc'!L:L,MATCH(C:C,'Fee Calc'!F:F,0))</f>
        <v>1151099.9705478987</v>
      </c>
      <c r="K27" s="45">
        <f t="shared" si="3"/>
        <v>4081561.5598881096</v>
      </c>
      <c r="L27" s="45">
        <v>1248321.71</v>
      </c>
      <c r="M27" s="45">
        <v>1210883.5900000001</v>
      </c>
      <c r="N27" s="45">
        <f t="shared" si="4"/>
        <v>2459205.2999999998</v>
      </c>
      <c r="O27" s="45">
        <v>3867316.1272323853</v>
      </c>
      <c r="P27" s="45">
        <v>1264045.1544719175</v>
      </c>
      <c r="Q27" s="45">
        <f t="shared" si="5"/>
        <v>5131361.2817043029</v>
      </c>
      <c r="R27" s="45" t="str">
        <f t="shared" si="6"/>
        <v>Yes</v>
      </c>
      <c r="S27" s="46" t="str">
        <f t="shared" si="7"/>
        <v>Yes</v>
      </c>
      <c r="T27" s="47">
        <f>ROUND(INDEX(Summary!H:H,MATCH(H:H,Summary!A:A,0)),2)</f>
        <v>0.6</v>
      </c>
      <c r="U27" s="47">
        <f>ROUND(INDEX(Summary!I:I,MATCH(H:H,Summary!A:A,0)),2)</f>
        <v>0.99</v>
      </c>
      <c r="V27" s="81">
        <f t="shared" si="8"/>
        <v>1758276.9536041266</v>
      </c>
      <c r="W27" s="81">
        <f t="shared" si="9"/>
        <v>1139588.9708424197</v>
      </c>
      <c r="X27" s="45">
        <f t="shared" si="10"/>
        <v>2897865.9244465465</v>
      </c>
      <c r="Y27" s="45" t="s">
        <v>2752</v>
      </c>
      <c r="Z27" s="45" t="str">
        <f t="shared" si="11"/>
        <v>Yes</v>
      </c>
      <c r="AA27" s="45" t="str">
        <f t="shared" si="12"/>
        <v>Yes</v>
      </c>
      <c r="AB27" s="45" t="str">
        <f t="shared" si="13"/>
        <v>Yes</v>
      </c>
      <c r="AC27" s="82">
        <f t="shared" si="24"/>
        <v>0.5</v>
      </c>
      <c r="AD27" s="82">
        <f t="shared" si="25"/>
        <v>0.08</v>
      </c>
      <c r="AE27" s="45">
        <f t="shared" si="26"/>
        <v>1465230.7946701054</v>
      </c>
      <c r="AF27" s="45">
        <f t="shared" si="14"/>
        <v>92087.997643831899</v>
      </c>
      <c r="AG27" s="45">
        <f t="shared" si="15"/>
        <v>1557318.7923139373</v>
      </c>
      <c r="AH27" s="47">
        <f>IFERROR(ROUNDDOWN(INDEX('90% of ACR'!K:K,MATCH(H:H,'90% of ACR'!A:A,0))*IF(I27&gt;0,IF(O27&gt;0,$R$4*MAX(O27-V27,0),0),0)/I27,2),0)</f>
        <v>0.5</v>
      </c>
      <c r="AI27" s="82">
        <f>IFERROR(ROUNDDOWN(INDEX('90% of ACR'!R:R,MATCH(H:H,'90% of ACR'!A:A,0))*IF(J27&gt;0,IF(P27&gt;0,$R$4*MAX(P27-W27,0),0),0)/J27,2),0)</f>
        <v>7.0000000000000007E-2</v>
      </c>
      <c r="AJ27" s="45">
        <f t="shared" si="16"/>
        <v>1465230.7946701054</v>
      </c>
      <c r="AK27" s="45">
        <f t="shared" si="17"/>
        <v>80576.997938352913</v>
      </c>
      <c r="AL27" s="47">
        <f t="shared" si="18"/>
        <v>1.1000000000000001</v>
      </c>
      <c r="AM27" s="47">
        <f t="shared" si="19"/>
        <v>1.06</v>
      </c>
      <c r="AN27" s="83">
        <f>IFERROR(INDEX('Fee Calc'!P:P,MATCH(C27,'Fee Calc'!F:F,0)),0)</f>
        <v>4443673.717055005</v>
      </c>
      <c r="AO27" s="83">
        <f>IFERROR(INDEX('Fee Calc'!Q:Q,MATCH(C27,'Fee Calc'!F:F,0)),0)</f>
        <v>277603.17702119821</v>
      </c>
      <c r="AP27" s="83">
        <f t="shared" si="20"/>
        <v>4721276.894076203</v>
      </c>
      <c r="AQ27" s="70">
        <f t="shared" si="21"/>
        <v>2016136.3146311492</v>
      </c>
      <c r="AR27" s="70">
        <f t="shared" si="22"/>
        <v>1008068.1573155746</v>
      </c>
      <c r="AS27" s="70">
        <f t="shared" si="23"/>
        <v>1008068.1573155746</v>
      </c>
    </row>
    <row r="28" spans="1:45">
      <c r="A28" s="104" t="s">
        <v>744</v>
      </c>
      <c r="B28" s="31" t="s">
        <v>744</v>
      </c>
      <c r="C28" s="31" t="s">
        <v>745</v>
      </c>
      <c r="D28" s="43" t="s">
        <v>745</v>
      </c>
      <c r="E28" s="119" t="s">
        <v>2340</v>
      </c>
      <c r="F28" s="44" t="s">
        <v>2291</v>
      </c>
      <c r="G28" s="43" t="s">
        <v>227</v>
      </c>
      <c r="H28" s="43" t="str">
        <f t="shared" si="2"/>
        <v>Rural MRSA West</v>
      </c>
      <c r="I28" s="45">
        <f>INDEX('Fee Calc'!M:M,MATCH(C:C,'Fee Calc'!F:F,0))</f>
        <v>38458.05796970785</v>
      </c>
      <c r="J28" s="45">
        <f>INDEX('Fee Calc'!L:L,MATCH(C:C,'Fee Calc'!F:F,0))</f>
        <v>190104.60594125182</v>
      </c>
      <c r="K28" s="45">
        <f t="shared" si="3"/>
        <v>228562.66391095967</v>
      </c>
      <c r="L28" s="45">
        <v>60491.97</v>
      </c>
      <c r="M28" s="45">
        <v>12371.88</v>
      </c>
      <c r="N28" s="45">
        <f t="shared" si="4"/>
        <v>72863.850000000006</v>
      </c>
      <c r="O28" s="45">
        <v>6132.9421695129668</v>
      </c>
      <c r="P28" s="45">
        <v>5888.4967481288477</v>
      </c>
      <c r="Q28" s="45">
        <f t="shared" si="5"/>
        <v>12021.438917641815</v>
      </c>
      <c r="R28" s="45" t="str">
        <f t="shared" si="6"/>
        <v>Yes</v>
      </c>
      <c r="S28" s="46" t="str">
        <f t="shared" si="7"/>
        <v>Yes</v>
      </c>
      <c r="T28" s="47">
        <f>ROUND(INDEX(Summary!H:H,MATCH(H:H,Summary!A:A,0)),2)</f>
        <v>0</v>
      </c>
      <c r="U28" s="47">
        <f>ROUND(INDEX(Summary!I:I,MATCH(H:H,Summary!A:A,0)),2)</f>
        <v>0.2</v>
      </c>
      <c r="V28" s="81">
        <f t="shared" si="8"/>
        <v>0</v>
      </c>
      <c r="W28" s="81">
        <f t="shared" si="9"/>
        <v>38020.921188250366</v>
      </c>
      <c r="X28" s="45">
        <f t="shared" si="10"/>
        <v>38020.921188250366</v>
      </c>
      <c r="Y28" s="45" t="s">
        <v>2752</v>
      </c>
      <c r="Z28" s="45" t="str">
        <f t="shared" si="11"/>
        <v>No</v>
      </c>
      <c r="AA28" s="45" t="str">
        <f t="shared" si="12"/>
        <v>No</v>
      </c>
      <c r="AB28" s="45" t="str">
        <f t="shared" si="13"/>
        <v>Yes</v>
      </c>
      <c r="AC28" s="82">
        <f t="shared" si="24"/>
        <v>0.11</v>
      </c>
      <c r="AD28" s="82">
        <f t="shared" si="25"/>
        <v>0</v>
      </c>
      <c r="AE28" s="45">
        <f t="shared" si="26"/>
        <v>4230.3863766678633</v>
      </c>
      <c r="AF28" s="45">
        <f t="shared" si="14"/>
        <v>0</v>
      </c>
      <c r="AG28" s="45">
        <f t="shared" si="15"/>
        <v>4230.3863766678633</v>
      </c>
      <c r="AH28" s="47">
        <f>IFERROR(ROUNDDOWN(INDEX('90% of ACR'!K:K,MATCH(H:H,'90% of ACR'!A:A,0))*IF(I28&gt;0,IF(O28&gt;0,$R$4*MAX(O28-V28,0),0),0)/I28,2),0)</f>
        <v>0</v>
      </c>
      <c r="AI28" s="82">
        <f>IFERROR(ROUNDDOWN(INDEX('90% of ACR'!R:R,MATCH(H:H,'90% of ACR'!A:A,0))*IF(J28&gt;0,IF(P28&gt;0,$R$4*MAX(P28-W28,0),0),0)/J28,2),0)</f>
        <v>0</v>
      </c>
      <c r="AJ28" s="45">
        <f t="shared" si="16"/>
        <v>0</v>
      </c>
      <c r="AK28" s="45">
        <f t="shared" si="17"/>
        <v>0</v>
      </c>
      <c r="AL28" s="47">
        <f t="shared" si="18"/>
        <v>0</v>
      </c>
      <c r="AM28" s="47">
        <f t="shared" si="19"/>
        <v>0.2</v>
      </c>
      <c r="AN28" s="83">
        <f>IFERROR(INDEX('Fee Calc'!P:P,MATCH(C28,'Fee Calc'!F:F,0)),0)</f>
        <v>38020.921188250366</v>
      </c>
      <c r="AO28" s="83">
        <f>IFERROR(INDEX('Fee Calc'!Q:Q,MATCH(C28,'Fee Calc'!F:F,0)),0)</f>
        <v>2342.6116076193775</v>
      </c>
      <c r="AP28" s="83">
        <f t="shared" si="20"/>
        <v>40363.532795869745</v>
      </c>
      <c r="AQ28" s="70">
        <f t="shared" si="21"/>
        <v>17236.520136885851</v>
      </c>
      <c r="AR28" s="70">
        <f t="shared" si="22"/>
        <v>8618.2600684429253</v>
      </c>
      <c r="AS28" s="70">
        <f t="shared" si="23"/>
        <v>8618.2600684429253</v>
      </c>
    </row>
    <row r="29" spans="1:45" ht="23.25">
      <c r="A29" s="104" t="s">
        <v>1303</v>
      </c>
      <c r="B29" s="31" t="s">
        <v>1303</v>
      </c>
      <c r="C29" s="31" t="s">
        <v>1304</v>
      </c>
      <c r="D29" s="43" t="s">
        <v>1304</v>
      </c>
      <c r="E29" s="119" t="s">
        <v>2788</v>
      </c>
      <c r="F29" s="44" t="s">
        <v>2529</v>
      </c>
      <c r="G29" s="43" t="s">
        <v>1202</v>
      </c>
      <c r="H29" s="43" t="str">
        <f t="shared" si="2"/>
        <v>Non-state-owned IMD Travis</v>
      </c>
      <c r="I29" s="45">
        <f>INDEX('Fee Calc'!M:M,MATCH(C:C,'Fee Calc'!F:F,0))</f>
        <v>85735.620925097857</v>
      </c>
      <c r="J29" s="45">
        <f>INDEX('Fee Calc'!L:L,MATCH(C:C,'Fee Calc'!F:F,0))</f>
        <v>0</v>
      </c>
      <c r="K29" s="45">
        <f t="shared" si="3"/>
        <v>85735.620925097857</v>
      </c>
      <c r="L29" s="45">
        <v>25345.599999999999</v>
      </c>
      <c r="M29" s="45">
        <v>0</v>
      </c>
      <c r="N29" s="45">
        <f t="shared" si="4"/>
        <v>25345.599999999999</v>
      </c>
      <c r="O29" s="45">
        <v>11686.183196889513</v>
      </c>
      <c r="P29" s="45">
        <v>0</v>
      </c>
      <c r="Q29" s="45">
        <f t="shared" si="5"/>
        <v>11686.183196889513</v>
      </c>
      <c r="R29" s="45" t="str">
        <f t="shared" si="6"/>
        <v>Yes</v>
      </c>
      <c r="S29" s="46" t="str">
        <f t="shared" si="7"/>
        <v>No</v>
      </c>
      <c r="T29" s="47">
        <f>ROUND(INDEX(Summary!H:H,MATCH(H:H,Summary!A:A,0)),2)</f>
        <v>0.28000000000000003</v>
      </c>
      <c r="U29" s="47">
        <f>ROUND(INDEX(Summary!I:I,MATCH(H:H,Summary!A:A,0)),2)</f>
        <v>0</v>
      </c>
      <c r="V29" s="81">
        <f t="shared" si="8"/>
        <v>24005.973859027403</v>
      </c>
      <c r="W29" s="81">
        <f t="shared" si="9"/>
        <v>0</v>
      </c>
      <c r="X29" s="45">
        <f t="shared" si="10"/>
        <v>24005.973859027403</v>
      </c>
      <c r="Y29" s="45" t="s">
        <v>2753</v>
      </c>
      <c r="Z29" s="45" t="str">
        <f t="shared" si="11"/>
        <v>No</v>
      </c>
      <c r="AA29" s="45" t="str">
        <f t="shared" si="12"/>
        <v>No</v>
      </c>
      <c r="AB29" s="45" t="str">
        <f t="shared" si="13"/>
        <v>No</v>
      </c>
      <c r="AC29" s="82">
        <f t="shared" si="24"/>
        <v>0</v>
      </c>
      <c r="AD29" s="82">
        <f t="shared" si="25"/>
        <v>0</v>
      </c>
      <c r="AE29" s="45">
        <f t="shared" si="26"/>
        <v>0</v>
      </c>
      <c r="AF29" s="45">
        <f t="shared" si="14"/>
        <v>0</v>
      </c>
      <c r="AG29" s="45">
        <f t="shared" si="15"/>
        <v>0</v>
      </c>
      <c r="AH29" s="47">
        <f>IFERROR(ROUNDDOWN(INDEX('90% of ACR'!K:K,MATCH(H:H,'90% of ACR'!A:A,0))*IF(I29&gt;0,IF(O29&gt;0,$R$4*MAX(O29-V29,0),0),0)/I29,2),0)</f>
        <v>0</v>
      </c>
      <c r="AI29" s="82">
        <f>IFERROR(ROUNDDOWN(INDEX('90% of ACR'!R:R,MATCH(H:H,'90% of ACR'!A:A,0))*IF(J29&gt;0,IF(P29&gt;0,$R$4*MAX(P29-W29,0),0),0)/J29,2),0)</f>
        <v>0</v>
      </c>
      <c r="AJ29" s="45">
        <f t="shared" si="16"/>
        <v>0</v>
      </c>
      <c r="AK29" s="45">
        <f t="shared" si="17"/>
        <v>0</v>
      </c>
      <c r="AL29" s="47">
        <f t="shared" si="18"/>
        <v>0.28000000000000003</v>
      </c>
      <c r="AM29" s="47">
        <f t="shared" si="19"/>
        <v>0</v>
      </c>
      <c r="AN29" s="83">
        <f>IFERROR(INDEX('Fee Calc'!P:P,MATCH(C29,'Fee Calc'!F:F,0)),0)</f>
        <v>24005.973859027403</v>
      </c>
      <c r="AO29" s="83">
        <f>IFERROR(INDEX('Fee Calc'!Q:Q,MATCH(C29,'Fee Calc'!F:F,0)),0)</f>
        <v>1464.555434370372</v>
      </c>
      <c r="AP29" s="83">
        <f t="shared" si="20"/>
        <v>25470.529293397776</v>
      </c>
      <c r="AQ29" s="70">
        <f t="shared" si="21"/>
        <v>10876.731065218239</v>
      </c>
      <c r="AR29" s="70">
        <f t="shared" si="22"/>
        <v>5438.3655326091193</v>
      </c>
      <c r="AS29" s="70">
        <f t="shared" si="23"/>
        <v>5438.3655326091193</v>
      </c>
    </row>
    <row r="30" spans="1:45" ht="23.25">
      <c r="A30" s="104" t="s">
        <v>1271</v>
      </c>
      <c r="B30" s="31" t="s">
        <v>1271</v>
      </c>
      <c r="C30" s="31" t="s">
        <v>1272</v>
      </c>
      <c r="D30" s="43" t="s">
        <v>1272</v>
      </c>
      <c r="E30" s="119" t="s">
        <v>2719</v>
      </c>
      <c r="F30" s="44" t="s">
        <v>2529</v>
      </c>
      <c r="G30" s="43" t="s">
        <v>1365</v>
      </c>
      <c r="H30" s="43" t="str">
        <f t="shared" si="2"/>
        <v>Non-state-owned IMD Tarrant</v>
      </c>
      <c r="I30" s="45">
        <f>INDEX('Fee Calc'!M:M,MATCH(C:C,'Fee Calc'!F:F,0))</f>
        <v>2286688.4973313375</v>
      </c>
      <c r="J30" s="45">
        <f>INDEX('Fee Calc'!L:L,MATCH(C:C,'Fee Calc'!F:F,0))</f>
        <v>0</v>
      </c>
      <c r="K30" s="45">
        <f t="shared" si="3"/>
        <v>2286688.4973313375</v>
      </c>
      <c r="L30" s="45">
        <v>484607.88</v>
      </c>
      <c r="M30" s="45">
        <v>0</v>
      </c>
      <c r="N30" s="45">
        <f t="shared" si="4"/>
        <v>484607.88</v>
      </c>
      <c r="O30" s="45">
        <v>381581.1784420847</v>
      </c>
      <c r="P30" s="45">
        <v>0</v>
      </c>
      <c r="Q30" s="45">
        <f t="shared" si="5"/>
        <v>381581.1784420847</v>
      </c>
      <c r="R30" s="45" t="str">
        <f t="shared" si="6"/>
        <v>Yes</v>
      </c>
      <c r="S30" s="46" t="str">
        <f t="shared" si="7"/>
        <v>No</v>
      </c>
      <c r="T30" s="47">
        <f>ROUND(INDEX(Summary!H:H,MATCH(H:H,Summary!A:A,0)),2)</f>
        <v>0.21</v>
      </c>
      <c r="U30" s="47">
        <f>ROUND(INDEX(Summary!I:I,MATCH(H:H,Summary!A:A,0)),2)</f>
        <v>0</v>
      </c>
      <c r="V30" s="81">
        <f t="shared" si="8"/>
        <v>480204.58443958085</v>
      </c>
      <c r="W30" s="81">
        <f t="shared" si="9"/>
        <v>0</v>
      </c>
      <c r="X30" s="45">
        <f t="shared" si="10"/>
        <v>480204.58443958085</v>
      </c>
      <c r="Y30" s="45" t="s">
        <v>2753</v>
      </c>
      <c r="Z30" s="45" t="str">
        <f t="shared" si="11"/>
        <v>No</v>
      </c>
      <c r="AA30" s="45" t="str">
        <f t="shared" si="12"/>
        <v>No</v>
      </c>
      <c r="AB30" s="45" t="str">
        <f t="shared" si="13"/>
        <v>No</v>
      </c>
      <c r="AC30" s="82">
        <f t="shared" si="24"/>
        <v>0</v>
      </c>
      <c r="AD30" s="82">
        <f t="shared" si="25"/>
        <v>0</v>
      </c>
      <c r="AE30" s="45">
        <f t="shared" si="26"/>
        <v>0</v>
      </c>
      <c r="AF30" s="45">
        <f t="shared" si="14"/>
        <v>0</v>
      </c>
      <c r="AG30" s="45">
        <f t="shared" si="15"/>
        <v>0</v>
      </c>
      <c r="AH30" s="47">
        <f>IFERROR(ROUNDDOWN(INDEX('90% of ACR'!K:K,MATCH(H:H,'90% of ACR'!A:A,0))*IF(I30&gt;0,IF(O30&gt;0,$R$4*MAX(O30-V30,0),0),0)/I30,2),0)</f>
        <v>0</v>
      </c>
      <c r="AI30" s="82">
        <f>IFERROR(ROUNDDOWN(INDEX('90% of ACR'!R:R,MATCH(H:H,'90% of ACR'!A:A,0))*IF(J30&gt;0,IF(P30&gt;0,$R$4*MAX(P30-W30,0),0),0)/J30,2),0)</f>
        <v>0</v>
      </c>
      <c r="AJ30" s="45">
        <f t="shared" si="16"/>
        <v>0</v>
      </c>
      <c r="AK30" s="45">
        <f t="shared" si="17"/>
        <v>0</v>
      </c>
      <c r="AL30" s="47">
        <f t="shared" si="18"/>
        <v>0.21</v>
      </c>
      <c r="AM30" s="47">
        <f t="shared" si="19"/>
        <v>0</v>
      </c>
      <c r="AN30" s="83">
        <f>IFERROR(INDEX('Fee Calc'!P:P,MATCH(C30,'Fee Calc'!F:F,0)),0)</f>
        <v>480204.58443958085</v>
      </c>
      <c r="AO30" s="83">
        <f>IFERROR(INDEX('Fee Calc'!Q:Q,MATCH(C30,'Fee Calc'!F:F,0)),0)</f>
        <v>29296.300907454537</v>
      </c>
      <c r="AP30" s="83">
        <f t="shared" si="20"/>
        <v>509500.88534703536</v>
      </c>
      <c r="AQ30" s="70">
        <f t="shared" si="21"/>
        <v>217573.18207151518</v>
      </c>
      <c r="AR30" s="70">
        <f t="shared" si="22"/>
        <v>108786.59103575759</v>
      </c>
      <c r="AS30" s="70">
        <f t="shared" si="23"/>
        <v>108786.59103575759</v>
      </c>
    </row>
    <row r="31" spans="1:45" ht="23.25">
      <c r="A31" s="104" t="s">
        <v>1259</v>
      </c>
      <c r="B31" s="31" t="s">
        <v>1259</v>
      </c>
      <c r="C31" s="31" t="s">
        <v>1260</v>
      </c>
      <c r="D31" s="43" t="s">
        <v>1260</v>
      </c>
      <c r="E31" s="119" t="s">
        <v>2584</v>
      </c>
      <c r="F31" s="44" t="s">
        <v>2529</v>
      </c>
      <c r="G31" s="43" t="s">
        <v>1486</v>
      </c>
      <c r="H31" s="43" t="str">
        <f t="shared" si="2"/>
        <v>Non-state-owned IMD MRSA Central</v>
      </c>
      <c r="I31" s="45">
        <f>INDEX('Fee Calc'!M:M,MATCH(C:C,'Fee Calc'!F:F,0))</f>
        <v>2398852.0225756029</v>
      </c>
      <c r="J31" s="45">
        <f>INDEX('Fee Calc'!L:L,MATCH(C:C,'Fee Calc'!F:F,0))</f>
        <v>0</v>
      </c>
      <c r="K31" s="45">
        <f t="shared" si="3"/>
        <v>2398852.0225756029</v>
      </c>
      <c r="L31" s="45">
        <v>1282893.6100000001</v>
      </c>
      <c r="M31" s="45">
        <v>0</v>
      </c>
      <c r="N31" s="45">
        <f t="shared" si="4"/>
        <v>1282893.6100000001</v>
      </c>
      <c r="O31" s="45">
        <v>34775.477261519525</v>
      </c>
      <c r="P31" s="45">
        <v>0</v>
      </c>
      <c r="Q31" s="45">
        <f t="shared" si="5"/>
        <v>34775.477261519525</v>
      </c>
      <c r="R31" s="45" t="str">
        <f t="shared" si="6"/>
        <v>Yes</v>
      </c>
      <c r="S31" s="46" t="str">
        <f t="shared" si="7"/>
        <v>No</v>
      </c>
      <c r="T31" s="47">
        <f>ROUND(INDEX(Summary!H:H,MATCH(H:H,Summary!A:A,0)),2)</f>
        <v>0.53</v>
      </c>
      <c r="U31" s="47">
        <f>ROUND(INDEX(Summary!I:I,MATCH(H:H,Summary!A:A,0)),2)</f>
        <v>0</v>
      </c>
      <c r="V31" s="81">
        <f t="shared" si="8"/>
        <v>1271391.5719650695</v>
      </c>
      <c r="W31" s="81">
        <f t="shared" si="9"/>
        <v>0</v>
      </c>
      <c r="X31" s="45">
        <f t="shared" si="10"/>
        <v>1271391.5719650695</v>
      </c>
      <c r="Y31" s="45" t="s">
        <v>2752</v>
      </c>
      <c r="Z31" s="45" t="str">
        <f t="shared" si="11"/>
        <v>No</v>
      </c>
      <c r="AA31" s="45" t="str">
        <f t="shared" si="12"/>
        <v>No</v>
      </c>
      <c r="AB31" s="45" t="str">
        <f t="shared" si="13"/>
        <v>No</v>
      </c>
      <c r="AC31" s="82">
        <f t="shared" si="24"/>
        <v>0</v>
      </c>
      <c r="AD31" s="82">
        <f t="shared" si="25"/>
        <v>0</v>
      </c>
      <c r="AE31" s="45">
        <f t="shared" si="26"/>
        <v>0</v>
      </c>
      <c r="AF31" s="45">
        <f t="shared" si="14"/>
        <v>0</v>
      </c>
      <c r="AG31" s="45">
        <f t="shared" si="15"/>
        <v>0</v>
      </c>
      <c r="AH31" s="47">
        <f>IFERROR(ROUNDDOWN(INDEX('90% of ACR'!K:K,MATCH(H:H,'90% of ACR'!A:A,0))*IF(I31&gt;0,IF(O31&gt;0,$R$4*MAX(O31-V31,0),0),0)/I31,2),0)</f>
        <v>0</v>
      </c>
      <c r="AI31" s="82">
        <f>IFERROR(ROUNDDOWN(INDEX('90% of ACR'!R:R,MATCH(H:H,'90% of ACR'!A:A,0))*IF(J31&gt;0,IF(P31&gt;0,$R$4*MAX(P31-W31,0),0),0)/J31,2),0)</f>
        <v>0</v>
      </c>
      <c r="AJ31" s="45">
        <f t="shared" si="16"/>
        <v>0</v>
      </c>
      <c r="AK31" s="45">
        <f t="shared" si="17"/>
        <v>0</v>
      </c>
      <c r="AL31" s="47">
        <f t="shared" si="18"/>
        <v>0.53</v>
      </c>
      <c r="AM31" s="47">
        <f t="shared" si="19"/>
        <v>0</v>
      </c>
      <c r="AN31" s="83">
        <f>IFERROR(INDEX('Fee Calc'!P:P,MATCH(C31,'Fee Calc'!F:F,0)),0)</f>
        <v>1271391.5719650695</v>
      </c>
      <c r="AO31" s="83">
        <f>IFERROR(INDEX('Fee Calc'!Q:Q,MATCH(C31,'Fee Calc'!F:F,0)),0)</f>
        <v>77565.003064181976</v>
      </c>
      <c r="AP31" s="83">
        <f t="shared" si="20"/>
        <v>1348956.5750292514</v>
      </c>
      <c r="AQ31" s="70">
        <f t="shared" si="21"/>
        <v>576047.62414789118</v>
      </c>
      <c r="AR31" s="70">
        <f t="shared" si="22"/>
        <v>288023.81207394559</v>
      </c>
      <c r="AS31" s="70">
        <f t="shared" si="23"/>
        <v>288023.81207394559</v>
      </c>
    </row>
    <row r="32" spans="1:45">
      <c r="A32" s="104" t="s">
        <v>533</v>
      </c>
      <c r="B32" s="31" t="s">
        <v>533</v>
      </c>
      <c r="C32" s="31" t="s">
        <v>534</v>
      </c>
      <c r="D32" s="43" t="s">
        <v>534</v>
      </c>
      <c r="E32" s="119" t="s">
        <v>2433</v>
      </c>
      <c r="F32" s="44" t="s">
        <v>2291</v>
      </c>
      <c r="G32" s="43" t="s">
        <v>227</v>
      </c>
      <c r="H32" s="43" t="str">
        <f t="shared" si="2"/>
        <v>Rural MRSA West</v>
      </c>
      <c r="I32" s="45">
        <f>INDEX('Fee Calc'!M:M,MATCH(C:C,'Fee Calc'!F:F,0))</f>
        <v>1174778.8215027694</v>
      </c>
      <c r="J32" s="45">
        <f>INDEX('Fee Calc'!L:L,MATCH(C:C,'Fee Calc'!F:F,0))</f>
        <v>312524.59557552263</v>
      </c>
      <c r="K32" s="45">
        <f t="shared" si="3"/>
        <v>1487303.417078292</v>
      </c>
      <c r="L32" s="45">
        <v>-33266.699999999997</v>
      </c>
      <c r="M32" s="45">
        <v>8467.85</v>
      </c>
      <c r="N32" s="45">
        <f t="shared" si="4"/>
        <v>-24798.85</v>
      </c>
      <c r="O32" s="45">
        <v>215676.36201190227</v>
      </c>
      <c r="P32" s="45">
        <v>348313.05423258903</v>
      </c>
      <c r="Q32" s="45">
        <f t="shared" si="5"/>
        <v>563989.41624449124</v>
      </c>
      <c r="R32" s="45" t="str">
        <f t="shared" si="6"/>
        <v>Yes</v>
      </c>
      <c r="S32" s="46" t="str">
        <f t="shared" si="7"/>
        <v>Yes</v>
      </c>
      <c r="T32" s="47">
        <f>ROUND(INDEX(Summary!H:H,MATCH(H:H,Summary!A:A,0)),2)</f>
        <v>0</v>
      </c>
      <c r="U32" s="47">
        <f>ROUND(INDEX(Summary!I:I,MATCH(H:H,Summary!A:A,0)),2)</f>
        <v>0.2</v>
      </c>
      <c r="V32" s="81">
        <f t="shared" si="8"/>
        <v>0</v>
      </c>
      <c r="W32" s="81">
        <f t="shared" si="9"/>
        <v>62504.919115104531</v>
      </c>
      <c r="X32" s="45">
        <f t="shared" si="10"/>
        <v>62504.919115104531</v>
      </c>
      <c r="Y32" s="45" t="s">
        <v>2753</v>
      </c>
      <c r="Z32" s="45" t="str">
        <f t="shared" si="11"/>
        <v>No</v>
      </c>
      <c r="AA32" s="45" t="str">
        <f t="shared" si="12"/>
        <v>Yes</v>
      </c>
      <c r="AB32" s="45" t="str">
        <f t="shared" si="13"/>
        <v>Yes</v>
      </c>
      <c r="AC32" s="82">
        <f t="shared" si="24"/>
        <v>0.13</v>
      </c>
      <c r="AD32" s="82">
        <f t="shared" si="25"/>
        <v>0.64</v>
      </c>
      <c r="AE32" s="45">
        <f t="shared" si="26"/>
        <v>152721.24679536003</v>
      </c>
      <c r="AF32" s="45">
        <f t="shared" si="14"/>
        <v>200015.7411683345</v>
      </c>
      <c r="AG32" s="45">
        <f t="shared" si="15"/>
        <v>352736.9879636945</v>
      </c>
      <c r="AH32" s="47">
        <f>IFERROR(ROUNDDOWN(INDEX('90% of ACR'!K:K,MATCH(H:H,'90% of ACR'!A:A,0))*IF(I32&gt;0,IF(O32&gt;0,$R$4*MAX(O32-V32,0),0),0)/I32,2),0)</f>
        <v>0</v>
      </c>
      <c r="AI32" s="82">
        <f>IFERROR(ROUNDDOWN(INDEX('90% of ACR'!R:R,MATCH(H:H,'90% of ACR'!A:A,0))*IF(J32&gt;0,IF(P32&gt;0,$R$4*MAX(P32-W32,0),0),0)/J32,2),0)</f>
        <v>0.55000000000000004</v>
      </c>
      <c r="AJ32" s="45">
        <f t="shared" si="16"/>
        <v>0</v>
      </c>
      <c r="AK32" s="45">
        <f t="shared" si="17"/>
        <v>171888.52756653746</v>
      </c>
      <c r="AL32" s="47">
        <f t="shared" si="18"/>
        <v>0</v>
      </c>
      <c r="AM32" s="47">
        <f t="shared" si="19"/>
        <v>0.75</v>
      </c>
      <c r="AN32" s="83">
        <f>IFERROR(INDEX('Fee Calc'!P:P,MATCH(C32,'Fee Calc'!F:F,0)),0)</f>
        <v>234393.44668164197</v>
      </c>
      <c r="AO32" s="83">
        <f>IFERROR(INDEX('Fee Calc'!Q:Q,MATCH(C32,'Fee Calc'!F:F,0)),0)</f>
        <v>14407.378540701802</v>
      </c>
      <c r="AP32" s="83">
        <f t="shared" si="20"/>
        <v>248800.82522234379</v>
      </c>
      <c r="AQ32" s="70">
        <f t="shared" si="21"/>
        <v>106245.91399634791</v>
      </c>
      <c r="AR32" s="70">
        <f t="shared" si="22"/>
        <v>53122.956998173955</v>
      </c>
      <c r="AS32" s="70">
        <f t="shared" si="23"/>
        <v>53122.956998173955</v>
      </c>
    </row>
    <row r="33" spans="1:45">
      <c r="A33" s="104" t="s">
        <v>747</v>
      </c>
      <c r="B33" s="31" t="s">
        <v>747</v>
      </c>
      <c r="C33" s="31" t="s">
        <v>748</v>
      </c>
      <c r="D33" s="43" t="s">
        <v>748</v>
      </c>
      <c r="E33" s="119" t="s">
        <v>2343</v>
      </c>
      <c r="F33" s="44" t="s">
        <v>2279</v>
      </c>
      <c r="G33" s="43" t="s">
        <v>227</v>
      </c>
      <c r="H33" s="43" t="str">
        <f t="shared" si="2"/>
        <v>Urban MRSA West</v>
      </c>
      <c r="I33" s="45">
        <f>INDEX('Fee Calc'!M:M,MATCH(C:C,'Fee Calc'!F:F,0))</f>
        <v>15378753.910025746</v>
      </c>
      <c r="J33" s="45">
        <f>INDEX('Fee Calc'!L:L,MATCH(C:C,'Fee Calc'!F:F,0))</f>
        <v>9266935.2029913925</v>
      </c>
      <c r="K33" s="45">
        <f t="shared" si="3"/>
        <v>24645689.113017138</v>
      </c>
      <c r="L33" s="45">
        <v>2678120.21</v>
      </c>
      <c r="M33" s="45">
        <v>2495541.02</v>
      </c>
      <c r="N33" s="45">
        <f t="shared" si="4"/>
        <v>5173661.2300000004</v>
      </c>
      <c r="O33" s="45">
        <v>23494213.652902354</v>
      </c>
      <c r="P33" s="45">
        <v>-3172011.8895059628</v>
      </c>
      <c r="Q33" s="45">
        <f t="shared" si="5"/>
        <v>20322201.76339639</v>
      </c>
      <c r="R33" s="45" t="str">
        <f t="shared" si="6"/>
        <v>Yes</v>
      </c>
      <c r="S33" s="46" t="str">
        <f t="shared" si="7"/>
        <v>No</v>
      </c>
      <c r="T33" s="47">
        <f>ROUND(INDEX(Summary!H:H,MATCH(H:H,Summary!A:A,0)),2)</f>
        <v>0.28999999999999998</v>
      </c>
      <c r="U33" s="47">
        <f>ROUND(INDEX(Summary!I:I,MATCH(H:H,Summary!A:A,0)),2)</f>
        <v>0.79</v>
      </c>
      <c r="V33" s="81">
        <f t="shared" si="8"/>
        <v>4459838.6339074662</v>
      </c>
      <c r="W33" s="81">
        <f t="shared" si="9"/>
        <v>7320878.8103632005</v>
      </c>
      <c r="X33" s="45">
        <f t="shared" si="10"/>
        <v>11780717.444270667</v>
      </c>
      <c r="Y33" s="45" t="s">
        <v>2752</v>
      </c>
      <c r="Z33" s="45" t="str">
        <f t="shared" si="11"/>
        <v>Yes</v>
      </c>
      <c r="AA33" s="45" t="str">
        <f t="shared" si="12"/>
        <v>No</v>
      </c>
      <c r="AB33" s="45" t="str">
        <f t="shared" si="13"/>
        <v>Yes</v>
      </c>
      <c r="AC33" s="82">
        <f t="shared" si="24"/>
        <v>0.86</v>
      </c>
      <c r="AD33" s="82">
        <f t="shared" si="25"/>
        <v>0</v>
      </c>
      <c r="AE33" s="45">
        <f t="shared" si="26"/>
        <v>13225728.362622142</v>
      </c>
      <c r="AF33" s="45">
        <f t="shared" si="14"/>
        <v>0</v>
      </c>
      <c r="AG33" s="45">
        <f t="shared" si="15"/>
        <v>13225728.362622142</v>
      </c>
      <c r="AH33" s="47">
        <f>IFERROR(ROUNDDOWN(INDEX('90% of ACR'!K:K,MATCH(H:H,'90% of ACR'!A:A,0))*IF(I33&gt;0,IF(O33&gt;0,$R$4*MAX(O33-V33,0),0),0)/I33,2),0)</f>
        <v>0.86</v>
      </c>
      <c r="AI33" s="82">
        <f>IFERROR(ROUNDDOWN(INDEX('90% of ACR'!R:R,MATCH(H:H,'90% of ACR'!A:A,0))*IF(J33&gt;0,IF(P33&gt;0,$R$4*MAX(P33-W33,0),0),0)/J33,2),0)</f>
        <v>0</v>
      </c>
      <c r="AJ33" s="45">
        <f t="shared" si="16"/>
        <v>13225728.362622142</v>
      </c>
      <c r="AK33" s="45">
        <f t="shared" si="17"/>
        <v>0</v>
      </c>
      <c r="AL33" s="47">
        <f t="shared" si="18"/>
        <v>1.1499999999999999</v>
      </c>
      <c r="AM33" s="47">
        <f t="shared" si="19"/>
        <v>0.79</v>
      </c>
      <c r="AN33" s="83">
        <f>IFERROR(INDEX('Fee Calc'!P:P,MATCH(C33,'Fee Calc'!F:F,0)),0)</f>
        <v>25006445.806892805</v>
      </c>
      <c r="AO33" s="83">
        <f>IFERROR(INDEX('Fee Calc'!Q:Q,MATCH(C33,'Fee Calc'!F:F,0)),0)</f>
        <v>1548419.7033179291</v>
      </c>
      <c r="AP33" s="83">
        <f t="shared" si="20"/>
        <v>26554865.510210734</v>
      </c>
      <c r="AQ33" s="70">
        <f t="shared" si="21"/>
        <v>11339777.32855631</v>
      </c>
      <c r="AR33" s="70">
        <f t="shared" si="22"/>
        <v>5669888.6642781552</v>
      </c>
      <c r="AS33" s="70">
        <f t="shared" si="23"/>
        <v>5669888.6642781552</v>
      </c>
    </row>
    <row r="34" spans="1:45">
      <c r="A34" s="104" t="s">
        <v>85</v>
      </c>
      <c r="B34" s="31" t="s">
        <v>85</v>
      </c>
      <c r="C34" s="31" t="s">
        <v>86</v>
      </c>
      <c r="D34" s="43" t="s">
        <v>86</v>
      </c>
      <c r="E34" s="119" t="s">
        <v>2440</v>
      </c>
      <c r="F34" s="44" t="s">
        <v>1547</v>
      </c>
      <c r="G34" s="43" t="s">
        <v>1365</v>
      </c>
      <c r="H34" s="43" t="str">
        <f t="shared" si="2"/>
        <v>Children's Tarrant</v>
      </c>
      <c r="I34" s="45">
        <f>INDEX('Fee Calc'!M:M,MATCH(C:C,'Fee Calc'!F:F,0))</f>
        <v>137319014.58679339</v>
      </c>
      <c r="J34" s="45">
        <f>INDEX('Fee Calc'!L:L,MATCH(C:C,'Fee Calc'!F:F,0))</f>
        <v>100706719.99977851</v>
      </c>
      <c r="K34" s="45">
        <f t="shared" si="3"/>
        <v>238025734.5865719</v>
      </c>
      <c r="L34" s="45">
        <v>87408143.540000007</v>
      </c>
      <c r="M34" s="45">
        <v>15353056.710000001</v>
      </c>
      <c r="N34" s="45">
        <f t="shared" si="4"/>
        <v>102761200.25</v>
      </c>
      <c r="O34" s="45">
        <v>236187430.79752362</v>
      </c>
      <c r="P34" s="45">
        <v>73232011.378966197</v>
      </c>
      <c r="Q34" s="45">
        <f t="shared" si="5"/>
        <v>309419442.17648983</v>
      </c>
      <c r="R34" s="45" t="str">
        <f t="shared" si="6"/>
        <v>Yes</v>
      </c>
      <c r="S34" s="46" t="str">
        <f t="shared" si="7"/>
        <v>Yes</v>
      </c>
      <c r="T34" s="47">
        <f>ROUND(INDEX(Summary!H:H,MATCH(H:H,Summary!A:A,0)),2)</f>
        <v>0.64</v>
      </c>
      <c r="U34" s="47">
        <f>ROUND(INDEX(Summary!I:I,MATCH(H:H,Summary!A:A,0)),2)</f>
        <v>0.15</v>
      </c>
      <c r="V34" s="81">
        <f t="shared" si="8"/>
        <v>87884169.335547775</v>
      </c>
      <c r="W34" s="81">
        <f t="shared" si="9"/>
        <v>15106007.999966776</v>
      </c>
      <c r="X34" s="45">
        <f t="shared" si="10"/>
        <v>102990177.33551455</v>
      </c>
      <c r="Y34" s="45" t="s">
        <v>2752</v>
      </c>
      <c r="Z34" s="45" t="str">
        <f t="shared" si="11"/>
        <v>Yes</v>
      </c>
      <c r="AA34" s="45" t="str">
        <f t="shared" si="12"/>
        <v>Yes</v>
      </c>
      <c r="AB34" s="45" t="str">
        <f t="shared" si="13"/>
        <v>Yes</v>
      </c>
      <c r="AC34" s="82">
        <f t="shared" si="24"/>
        <v>0.75</v>
      </c>
      <c r="AD34" s="82">
        <f t="shared" si="25"/>
        <v>0.4</v>
      </c>
      <c r="AE34" s="45">
        <f t="shared" si="26"/>
        <v>102989260.94009504</v>
      </c>
      <c r="AF34" s="45">
        <f t="shared" si="14"/>
        <v>40282687.999911405</v>
      </c>
      <c r="AG34" s="45">
        <f t="shared" si="15"/>
        <v>143271948.94000643</v>
      </c>
      <c r="AH34" s="47">
        <f>IFERROR(ROUNDDOWN(INDEX('90% of ACR'!K:K,MATCH(H:H,'90% of ACR'!A:A,0))*IF(I34&gt;0,IF(O34&gt;0,$R$4*MAX(O34-V34,0),0),0)/I34,2),0)</f>
        <v>0.75</v>
      </c>
      <c r="AI34" s="82">
        <f>IFERROR(ROUNDDOWN(INDEX('90% of ACR'!R:R,MATCH(H:H,'90% of ACR'!A:A,0))*IF(J34&gt;0,IF(P34&gt;0,$R$4*MAX(P34-W34,0),0),0)/J34,2),0)</f>
        <v>0.4</v>
      </c>
      <c r="AJ34" s="45">
        <f t="shared" si="16"/>
        <v>102989260.94009504</v>
      </c>
      <c r="AK34" s="45">
        <f t="shared" si="17"/>
        <v>40282687.999911405</v>
      </c>
      <c r="AL34" s="47">
        <f t="shared" si="18"/>
        <v>1.3900000000000001</v>
      </c>
      <c r="AM34" s="47">
        <f t="shared" si="19"/>
        <v>0.55000000000000004</v>
      </c>
      <c r="AN34" s="83">
        <f>IFERROR(INDEX('Fee Calc'!P:P,MATCH(C34,'Fee Calc'!F:F,0)),0)</f>
        <v>246262126.27552104</v>
      </c>
      <c r="AO34" s="83">
        <f>IFERROR(INDEX('Fee Calc'!Q:Q,MATCH(C34,'Fee Calc'!F:F,0)),0)</f>
        <v>15025656.674714705</v>
      </c>
      <c r="AP34" s="83">
        <f t="shared" si="20"/>
        <v>261287782.95023575</v>
      </c>
      <c r="AQ34" s="70">
        <f t="shared" si="21"/>
        <v>111578244.52880508</v>
      </c>
      <c r="AR34" s="70">
        <f t="shared" si="22"/>
        <v>55789122.264402539</v>
      </c>
      <c r="AS34" s="70">
        <f t="shared" si="23"/>
        <v>55789122.264402539</v>
      </c>
    </row>
    <row r="35" spans="1:45">
      <c r="A35" s="104" t="s">
        <v>1562</v>
      </c>
      <c r="B35" s="31" t="s">
        <v>1562</v>
      </c>
      <c r="C35" s="31" t="s">
        <v>1619</v>
      </c>
      <c r="D35" s="43" t="s">
        <v>1619</v>
      </c>
      <c r="E35" s="119" t="s">
        <v>2337</v>
      </c>
      <c r="F35" s="44" t="s">
        <v>2279</v>
      </c>
      <c r="G35" s="43" t="s">
        <v>227</v>
      </c>
      <c r="H35" s="43" t="str">
        <f t="shared" si="2"/>
        <v>Urban MRSA West</v>
      </c>
      <c r="I35" s="45">
        <f>INDEX('Fee Calc'!M:M,MATCH(C:C,'Fee Calc'!F:F,0))</f>
        <v>8191961.58145623</v>
      </c>
      <c r="J35" s="45">
        <f>INDEX('Fee Calc'!L:L,MATCH(C:C,'Fee Calc'!F:F,0))</f>
        <v>4736547.8584745359</v>
      </c>
      <c r="K35" s="45">
        <f t="shared" si="3"/>
        <v>12928509.439930767</v>
      </c>
      <c r="L35" s="45">
        <v>3774237</v>
      </c>
      <c r="M35" s="45">
        <v>6459212.7599999998</v>
      </c>
      <c r="N35" s="45">
        <f t="shared" si="4"/>
        <v>10233449.76</v>
      </c>
      <c r="O35" s="45">
        <v>13211215.99869154</v>
      </c>
      <c r="P35" s="45">
        <v>9949797.280627016</v>
      </c>
      <c r="Q35" s="45">
        <f t="shared" si="5"/>
        <v>23161013.279318556</v>
      </c>
      <c r="R35" s="45" t="str">
        <f t="shared" si="6"/>
        <v>Yes</v>
      </c>
      <c r="S35" s="46" t="str">
        <f t="shared" si="7"/>
        <v>Yes</v>
      </c>
      <c r="T35" s="47">
        <f>ROUND(INDEX(Summary!H:H,MATCH(H:H,Summary!A:A,0)),2)</f>
        <v>0.28999999999999998</v>
      </c>
      <c r="U35" s="47">
        <f>ROUND(INDEX(Summary!I:I,MATCH(H:H,Summary!A:A,0)),2)</f>
        <v>0.79</v>
      </c>
      <c r="V35" s="81">
        <f t="shared" si="8"/>
        <v>2375668.8586223065</v>
      </c>
      <c r="W35" s="81">
        <f t="shared" si="9"/>
        <v>3741872.8081948836</v>
      </c>
      <c r="X35" s="45">
        <f t="shared" si="10"/>
        <v>6117541.6668171901</v>
      </c>
      <c r="Y35" s="45" t="s">
        <v>2752</v>
      </c>
      <c r="Z35" s="45" t="str">
        <f t="shared" si="11"/>
        <v>Yes</v>
      </c>
      <c r="AA35" s="45" t="str">
        <f t="shared" si="12"/>
        <v>Yes</v>
      </c>
      <c r="AB35" s="45" t="str">
        <f t="shared" si="13"/>
        <v>Yes</v>
      </c>
      <c r="AC35" s="82">
        <f t="shared" si="24"/>
        <v>0.92</v>
      </c>
      <c r="AD35" s="82">
        <f t="shared" si="25"/>
        <v>0.91</v>
      </c>
      <c r="AE35" s="45">
        <f t="shared" si="26"/>
        <v>7536604.6549397316</v>
      </c>
      <c r="AF35" s="45">
        <f t="shared" si="14"/>
        <v>4310258.5512118274</v>
      </c>
      <c r="AG35" s="45">
        <f t="shared" si="15"/>
        <v>11846863.20615156</v>
      </c>
      <c r="AH35" s="47">
        <f>IFERROR(ROUNDDOWN(INDEX('90% of ACR'!K:K,MATCH(H:H,'90% of ACR'!A:A,0))*IF(I35&gt;0,IF(O35&gt;0,$R$4*MAX(O35-V35,0),0),0)/I35,2),0)</f>
        <v>0.92</v>
      </c>
      <c r="AI35" s="82">
        <f>IFERROR(ROUNDDOWN(INDEX('90% of ACR'!R:R,MATCH(H:H,'90% of ACR'!A:A,0))*IF(J35&gt;0,IF(P35&gt;0,$R$4*MAX(P35-W35,0),0),0)/J35,2),0)</f>
        <v>0.34</v>
      </c>
      <c r="AJ35" s="45">
        <f t="shared" si="16"/>
        <v>7536604.6549397316</v>
      </c>
      <c r="AK35" s="45">
        <f t="shared" si="17"/>
        <v>1610426.2718813424</v>
      </c>
      <c r="AL35" s="47">
        <f t="shared" si="18"/>
        <v>1.21</v>
      </c>
      <c r="AM35" s="47">
        <f t="shared" si="19"/>
        <v>1.1300000000000001</v>
      </c>
      <c r="AN35" s="83">
        <f>IFERROR(INDEX('Fee Calc'!P:P,MATCH(C35,'Fee Calc'!F:F,0)),0)</f>
        <v>15264572.593638264</v>
      </c>
      <c r="AO35" s="83">
        <f>IFERROR(INDEX('Fee Calc'!Q:Q,MATCH(C35,'Fee Calc'!F:F,0)),0)</f>
        <v>947974.06762452237</v>
      </c>
      <c r="AP35" s="83">
        <f t="shared" si="20"/>
        <v>16212546.661262786</v>
      </c>
      <c r="AQ35" s="70">
        <f t="shared" si="21"/>
        <v>6923276.2258523703</v>
      </c>
      <c r="AR35" s="70">
        <f t="shared" si="22"/>
        <v>3461638.1129261851</v>
      </c>
      <c r="AS35" s="70">
        <f t="shared" si="23"/>
        <v>3461638.1129261851</v>
      </c>
    </row>
    <row r="36" spans="1:45">
      <c r="A36" s="104" t="s">
        <v>1044</v>
      </c>
      <c r="B36" s="31" t="s">
        <v>1044</v>
      </c>
      <c r="C36" s="31" t="s">
        <v>1045</v>
      </c>
      <c r="D36" s="43" t="s">
        <v>1045</v>
      </c>
      <c r="E36" s="119" t="s">
        <v>2789</v>
      </c>
      <c r="F36" s="44" t="s">
        <v>2291</v>
      </c>
      <c r="G36" s="43" t="s">
        <v>227</v>
      </c>
      <c r="H36" s="43" t="str">
        <f t="shared" si="2"/>
        <v>Rural MRSA West</v>
      </c>
      <c r="I36" s="45">
        <f>INDEX('Fee Calc'!M:M,MATCH(C:C,'Fee Calc'!F:F,0))</f>
        <v>5226323.4799589422</v>
      </c>
      <c r="J36" s="45">
        <f>INDEX('Fee Calc'!L:L,MATCH(C:C,'Fee Calc'!F:F,0))</f>
        <v>2956293.5034947665</v>
      </c>
      <c r="K36" s="45">
        <f t="shared" si="3"/>
        <v>8182616.9834537087</v>
      </c>
      <c r="L36" s="45">
        <v>-493310.44</v>
      </c>
      <c r="M36" s="45">
        <v>1610343.54</v>
      </c>
      <c r="N36" s="45">
        <f t="shared" si="4"/>
        <v>1117033.1000000001</v>
      </c>
      <c r="O36" s="45">
        <v>24656.666600000113</v>
      </c>
      <c r="P36" s="45">
        <v>1100542.8059012629</v>
      </c>
      <c r="Q36" s="45">
        <f t="shared" si="5"/>
        <v>1125199.472501263</v>
      </c>
      <c r="R36" s="45" t="str">
        <f t="shared" si="6"/>
        <v>Yes</v>
      </c>
      <c r="S36" s="46" t="str">
        <f t="shared" si="7"/>
        <v>Yes</v>
      </c>
      <c r="T36" s="47">
        <f>ROUND(INDEX(Summary!H:H,MATCH(H:H,Summary!A:A,0)),2)</f>
        <v>0</v>
      </c>
      <c r="U36" s="47">
        <f>ROUND(INDEX(Summary!I:I,MATCH(H:H,Summary!A:A,0)),2)</f>
        <v>0.2</v>
      </c>
      <c r="V36" s="81">
        <f t="shared" si="8"/>
        <v>0</v>
      </c>
      <c r="W36" s="81">
        <f t="shared" si="9"/>
        <v>591258.70069895335</v>
      </c>
      <c r="X36" s="45">
        <f t="shared" si="10"/>
        <v>591258.70069895335</v>
      </c>
      <c r="Y36" s="45" t="s">
        <v>2752</v>
      </c>
      <c r="Z36" s="45" t="str">
        <f t="shared" si="11"/>
        <v>No</v>
      </c>
      <c r="AA36" s="45" t="str">
        <f t="shared" si="12"/>
        <v>Yes</v>
      </c>
      <c r="AB36" s="45" t="str">
        <f t="shared" si="13"/>
        <v>Yes</v>
      </c>
      <c r="AC36" s="82">
        <f t="shared" si="24"/>
        <v>0</v>
      </c>
      <c r="AD36" s="82">
        <f t="shared" si="25"/>
        <v>0.12</v>
      </c>
      <c r="AE36" s="45">
        <f t="shared" si="26"/>
        <v>0</v>
      </c>
      <c r="AF36" s="45">
        <f t="shared" si="14"/>
        <v>354755.22041937197</v>
      </c>
      <c r="AG36" s="45">
        <f t="shared" si="15"/>
        <v>354755.22041937197</v>
      </c>
      <c r="AH36" s="47">
        <f>IFERROR(ROUNDDOWN(INDEX('90% of ACR'!K:K,MATCH(H:H,'90% of ACR'!A:A,0))*IF(I36&gt;0,IF(O36&gt;0,$R$4*MAX(O36-V36,0),0),0)/I36,2),0)</f>
        <v>0</v>
      </c>
      <c r="AI36" s="82">
        <f>IFERROR(ROUNDDOWN(INDEX('90% of ACR'!R:R,MATCH(H:H,'90% of ACR'!A:A,0))*IF(J36&gt;0,IF(P36&gt;0,$R$4*MAX(P36-W36,0),0),0)/J36,2),0)</f>
        <v>0.1</v>
      </c>
      <c r="AJ36" s="45">
        <f t="shared" si="16"/>
        <v>0</v>
      </c>
      <c r="AK36" s="45">
        <f t="shared" si="17"/>
        <v>295629.35034947668</v>
      </c>
      <c r="AL36" s="47">
        <f t="shared" si="18"/>
        <v>0</v>
      </c>
      <c r="AM36" s="47">
        <f t="shared" si="19"/>
        <v>0.30000000000000004</v>
      </c>
      <c r="AN36" s="83">
        <f>IFERROR(INDEX('Fee Calc'!P:P,MATCH(C36,'Fee Calc'!F:F,0)),0)</f>
        <v>886888.05104843015</v>
      </c>
      <c r="AO36" s="83">
        <f>IFERROR(INDEX('Fee Calc'!Q:Q,MATCH(C36,'Fee Calc'!F:F,0)),0)</f>
        <v>54557.359578798845</v>
      </c>
      <c r="AP36" s="83">
        <f t="shared" si="20"/>
        <v>941445.41062722902</v>
      </c>
      <c r="AQ36" s="70">
        <f t="shared" si="21"/>
        <v>402027.31659096683</v>
      </c>
      <c r="AR36" s="70">
        <f t="shared" si="22"/>
        <v>201013.65829548342</v>
      </c>
      <c r="AS36" s="70">
        <f t="shared" si="23"/>
        <v>201013.65829548342</v>
      </c>
    </row>
    <row r="37" spans="1:45">
      <c r="A37" s="104" t="s">
        <v>668</v>
      </c>
      <c r="B37" s="31" t="s">
        <v>668</v>
      </c>
      <c r="C37" s="31" t="s">
        <v>669</v>
      </c>
      <c r="D37" s="43" t="s">
        <v>669</v>
      </c>
      <c r="E37" s="119" t="s">
        <v>2790</v>
      </c>
      <c r="F37" s="44" t="s">
        <v>2291</v>
      </c>
      <c r="G37" s="43" t="s">
        <v>227</v>
      </c>
      <c r="H37" s="43" t="str">
        <f t="shared" si="2"/>
        <v>Rural MRSA West</v>
      </c>
      <c r="I37" s="45">
        <f>INDEX('Fee Calc'!M:M,MATCH(C:C,'Fee Calc'!F:F,0))</f>
        <v>529713.59219596093</v>
      </c>
      <c r="J37" s="45">
        <f>INDEX('Fee Calc'!L:L,MATCH(C:C,'Fee Calc'!F:F,0))</f>
        <v>795804.21895056718</v>
      </c>
      <c r="K37" s="45">
        <f t="shared" si="3"/>
        <v>1325517.811146528</v>
      </c>
      <c r="L37" s="45">
        <v>449999.37</v>
      </c>
      <c r="M37" s="45">
        <v>69547.91</v>
      </c>
      <c r="N37" s="45">
        <f t="shared" si="4"/>
        <v>519547.28</v>
      </c>
      <c r="O37" s="45">
        <v>33426.590610399027</v>
      </c>
      <c r="P37" s="45">
        <v>184894.04844717821</v>
      </c>
      <c r="Q37" s="45">
        <f t="shared" si="5"/>
        <v>218320.63905757724</v>
      </c>
      <c r="R37" s="45" t="str">
        <f t="shared" si="6"/>
        <v>Yes</v>
      </c>
      <c r="S37" s="46" t="str">
        <f t="shared" si="7"/>
        <v>Yes</v>
      </c>
      <c r="T37" s="47">
        <f>ROUND(INDEX(Summary!H:H,MATCH(H:H,Summary!A:A,0)),2)</f>
        <v>0</v>
      </c>
      <c r="U37" s="47">
        <f>ROUND(INDEX(Summary!I:I,MATCH(H:H,Summary!A:A,0)),2)</f>
        <v>0.2</v>
      </c>
      <c r="V37" s="81">
        <f t="shared" si="8"/>
        <v>0</v>
      </c>
      <c r="W37" s="81">
        <f t="shared" si="9"/>
        <v>159160.84379011346</v>
      </c>
      <c r="X37" s="45">
        <f t="shared" si="10"/>
        <v>159160.84379011346</v>
      </c>
      <c r="Y37" s="45" t="s">
        <v>2752</v>
      </c>
      <c r="Z37" s="45" t="str">
        <f t="shared" si="11"/>
        <v>No</v>
      </c>
      <c r="AA37" s="45" t="str">
        <f t="shared" si="12"/>
        <v>Yes</v>
      </c>
      <c r="AB37" s="45" t="str">
        <f t="shared" si="13"/>
        <v>Yes</v>
      </c>
      <c r="AC37" s="82">
        <f t="shared" si="24"/>
        <v>0.04</v>
      </c>
      <c r="AD37" s="82">
        <f t="shared" si="25"/>
        <v>0.02</v>
      </c>
      <c r="AE37" s="45">
        <f t="shared" si="26"/>
        <v>21188.543687838439</v>
      </c>
      <c r="AF37" s="45">
        <f t="shared" si="14"/>
        <v>15916.084379011345</v>
      </c>
      <c r="AG37" s="45">
        <f t="shared" si="15"/>
        <v>37104.628066849786</v>
      </c>
      <c r="AH37" s="47">
        <f>IFERROR(ROUNDDOWN(INDEX('90% of ACR'!K:K,MATCH(H:H,'90% of ACR'!A:A,0))*IF(I37&gt;0,IF(O37&gt;0,$R$4*MAX(O37-V37,0),0),0)/I37,2),0)</f>
        <v>0</v>
      </c>
      <c r="AI37" s="82">
        <f>IFERROR(ROUNDDOWN(INDEX('90% of ACR'!R:R,MATCH(H:H,'90% of ACR'!A:A,0))*IF(J37&gt;0,IF(P37&gt;0,$R$4*MAX(P37-W37,0),0),0)/J37,2),0)</f>
        <v>0.01</v>
      </c>
      <c r="AJ37" s="45">
        <f t="shared" si="16"/>
        <v>0</v>
      </c>
      <c r="AK37" s="45">
        <f t="shared" si="17"/>
        <v>7958.0421895056725</v>
      </c>
      <c r="AL37" s="47">
        <f t="shared" si="18"/>
        <v>0</v>
      </c>
      <c r="AM37" s="47">
        <f t="shared" si="19"/>
        <v>0.21000000000000002</v>
      </c>
      <c r="AN37" s="83">
        <f>IFERROR(INDEX('Fee Calc'!P:P,MATCH(C37,'Fee Calc'!F:F,0)),0)</f>
        <v>167118.88597961914</v>
      </c>
      <c r="AO37" s="83">
        <f>IFERROR(INDEX('Fee Calc'!Q:Q,MATCH(C37,'Fee Calc'!F:F,0)),0)</f>
        <v>10235.782015608598</v>
      </c>
      <c r="AP37" s="83">
        <f t="shared" si="20"/>
        <v>177354.66799522773</v>
      </c>
      <c r="AQ37" s="70">
        <f t="shared" si="21"/>
        <v>75736.118583338088</v>
      </c>
      <c r="AR37" s="70">
        <f t="shared" si="22"/>
        <v>37868.059291669044</v>
      </c>
      <c r="AS37" s="70">
        <f t="shared" si="23"/>
        <v>37868.059291669044</v>
      </c>
    </row>
    <row r="38" spans="1:45">
      <c r="A38" s="104" t="s">
        <v>132</v>
      </c>
      <c r="B38" s="31" t="s">
        <v>132</v>
      </c>
      <c r="C38" s="31" t="s">
        <v>133</v>
      </c>
      <c r="D38" s="31" t="s">
        <v>133</v>
      </c>
      <c r="E38" s="119" t="s">
        <v>2791</v>
      </c>
      <c r="F38" s="44" t="s">
        <v>2279</v>
      </c>
      <c r="G38" s="43" t="s">
        <v>487</v>
      </c>
      <c r="H38" s="43" t="str">
        <f t="shared" si="2"/>
        <v>Urban Bexar</v>
      </c>
      <c r="I38" s="45">
        <f>INDEX('Fee Calc'!M:M,MATCH(C:C,'Fee Calc'!F:F,0))</f>
        <v>189101.3287050144</v>
      </c>
      <c r="J38" s="45">
        <f>INDEX('Fee Calc'!L:L,MATCH(C:C,'Fee Calc'!F:F,0))</f>
        <v>5581992.6274515325</v>
      </c>
      <c r="K38" s="45">
        <f t="shared" si="3"/>
        <v>5771093.9561565472</v>
      </c>
      <c r="L38" s="45">
        <v>213106.46</v>
      </c>
      <c r="M38" s="45">
        <v>1391312.47</v>
      </c>
      <c r="N38" s="45">
        <f t="shared" si="4"/>
        <v>1604418.93</v>
      </c>
      <c r="O38" s="45">
        <v>626331.9636250711</v>
      </c>
      <c r="P38" s="45">
        <v>5447592.3636480253</v>
      </c>
      <c r="Q38" s="45">
        <f t="shared" si="5"/>
        <v>6073924.3272730969</v>
      </c>
      <c r="R38" s="45" t="str">
        <f t="shared" si="6"/>
        <v>Yes</v>
      </c>
      <c r="S38" s="46" t="str">
        <f t="shared" si="7"/>
        <v>Yes</v>
      </c>
      <c r="T38" s="47">
        <f>ROUND(INDEX(Summary!H:H,MATCH(H:H,Summary!A:A,0)),2)</f>
        <v>0.4</v>
      </c>
      <c r="U38" s="47">
        <f>ROUND(INDEX(Summary!I:I,MATCH(H:H,Summary!A:A,0)),2)</f>
        <v>0.45</v>
      </c>
      <c r="V38" s="81">
        <f t="shared" si="8"/>
        <v>75640.531482005768</v>
      </c>
      <c r="W38" s="81">
        <f t="shared" si="9"/>
        <v>2511896.6823531897</v>
      </c>
      <c r="X38" s="45">
        <f t="shared" si="10"/>
        <v>2587537.2138351956</v>
      </c>
      <c r="Y38" s="45" t="s">
        <v>2752</v>
      </c>
      <c r="Z38" s="45" t="str">
        <f t="shared" si="11"/>
        <v>Yes</v>
      </c>
      <c r="AA38" s="45" t="str">
        <f t="shared" si="12"/>
        <v>Yes</v>
      </c>
      <c r="AB38" s="45" t="str">
        <f t="shared" si="13"/>
        <v>Yes</v>
      </c>
      <c r="AC38" s="82">
        <f t="shared" si="24"/>
        <v>2.0299999999999998</v>
      </c>
      <c r="AD38" s="82">
        <f t="shared" si="25"/>
        <v>0.37</v>
      </c>
      <c r="AE38" s="45">
        <f t="shared" si="26"/>
        <v>383875.69727117918</v>
      </c>
      <c r="AF38" s="45">
        <f t="shared" si="14"/>
        <v>2065337.272157067</v>
      </c>
      <c r="AG38" s="45">
        <f t="shared" si="15"/>
        <v>2449212.9694282459</v>
      </c>
      <c r="AH38" s="47">
        <f>IFERROR(ROUNDDOWN(INDEX('90% of ACR'!K:K,MATCH(H:H,'90% of ACR'!A:A,0))*IF(I38&gt;0,IF(O38&gt;0,$R$4*MAX(O38-V38,0),0),0)/I38,2),0)</f>
        <v>1.8</v>
      </c>
      <c r="AI38" s="82">
        <f>IFERROR(ROUNDDOWN(INDEX('90% of ACR'!R:R,MATCH(H:H,'90% of ACR'!A:A,0))*IF(J38&gt;0,IF(P38&gt;0,$R$4*MAX(P38-W38,0),0),0)/J38,2),0)</f>
        <v>0.2</v>
      </c>
      <c r="AJ38" s="45">
        <f t="shared" si="16"/>
        <v>340382.39166902594</v>
      </c>
      <c r="AK38" s="45">
        <f t="shared" si="17"/>
        <v>1116398.5254903066</v>
      </c>
      <c r="AL38" s="47">
        <f t="shared" si="18"/>
        <v>2.2000000000000002</v>
      </c>
      <c r="AM38" s="47">
        <f t="shared" si="19"/>
        <v>0.65</v>
      </c>
      <c r="AN38" s="83">
        <f>IFERROR(INDEX('Fee Calc'!P:P,MATCH(C38,'Fee Calc'!F:F,0)),0)</f>
        <v>4044318.1309945281</v>
      </c>
      <c r="AO38" s="83">
        <f>IFERROR(INDEX('Fee Calc'!Q:Q,MATCH(C38,'Fee Calc'!F:F,0)),0)</f>
        <v>249240.3023522945</v>
      </c>
      <c r="AP38" s="83">
        <f t="shared" si="20"/>
        <v>4293558.4333468229</v>
      </c>
      <c r="AQ38" s="70">
        <f t="shared" si="21"/>
        <v>1833486.8449089604</v>
      </c>
      <c r="AR38" s="70">
        <f t="shared" si="22"/>
        <v>916743.4224544802</v>
      </c>
      <c r="AS38" s="70">
        <f t="shared" si="23"/>
        <v>916743.4224544802</v>
      </c>
    </row>
    <row r="39" spans="1:45">
      <c r="A39" s="104" t="s">
        <v>165</v>
      </c>
      <c r="B39" s="31" t="s">
        <v>165</v>
      </c>
      <c r="C39" s="31" t="s">
        <v>166</v>
      </c>
      <c r="D39" s="43" t="s">
        <v>166</v>
      </c>
      <c r="E39" s="119" t="s">
        <v>2747</v>
      </c>
      <c r="F39" s="44" t="s">
        <v>2279</v>
      </c>
      <c r="G39" s="43" t="s">
        <v>1189</v>
      </c>
      <c r="H39" s="43" t="str">
        <f t="shared" si="2"/>
        <v>Urban El Paso</v>
      </c>
      <c r="I39" s="45">
        <f>INDEX('Fee Calc'!M:M,MATCH(C:C,'Fee Calc'!F:F,0))</f>
        <v>48990.533257828291</v>
      </c>
      <c r="J39" s="45">
        <f>INDEX('Fee Calc'!L:L,MATCH(C:C,'Fee Calc'!F:F,0))</f>
        <v>4967514.8932771469</v>
      </c>
      <c r="K39" s="45">
        <f t="shared" si="3"/>
        <v>5016505.4265349749</v>
      </c>
      <c r="L39" s="45">
        <v>54604.480000000003</v>
      </c>
      <c r="M39" s="45">
        <v>-319123.31</v>
      </c>
      <c r="N39" s="45">
        <f t="shared" si="4"/>
        <v>-264518.83</v>
      </c>
      <c r="O39" s="45">
        <v>175117.47561554259</v>
      </c>
      <c r="P39" s="45">
        <v>2754058.5384141984</v>
      </c>
      <c r="Q39" s="45">
        <f t="shared" si="5"/>
        <v>2929176.0140297408</v>
      </c>
      <c r="R39" s="45" t="str">
        <f t="shared" si="6"/>
        <v>Yes</v>
      </c>
      <c r="S39" s="46" t="str">
        <f t="shared" si="7"/>
        <v>Yes</v>
      </c>
      <c r="T39" s="47">
        <f>ROUND(INDEX(Summary!H:H,MATCH(H:H,Summary!A:A,0)),2)</f>
        <v>0.09</v>
      </c>
      <c r="U39" s="47">
        <f>ROUND(INDEX(Summary!I:I,MATCH(H:H,Summary!A:A,0)),2)</f>
        <v>0.45</v>
      </c>
      <c r="V39" s="81">
        <f t="shared" si="8"/>
        <v>4409.1479932045459</v>
      </c>
      <c r="W39" s="81">
        <f t="shared" si="9"/>
        <v>2235381.701974716</v>
      </c>
      <c r="X39" s="45">
        <f t="shared" si="10"/>
        <v>2239790.8499679207</v>
      </c>
      <c r="Y39" s="45" t="s">
        <v>2752</v>
      </c>
      <c r="Z39" s="45" t="str">
        <f t="shared" si="11"/>
        <v>Yes</v>
      </c>
      <c r="AA39" s="45" t="str">
        <f t="shared" si="12"/>
        <v>Yes</v>
      </c>
      <c r="AB39" s="45" t="str">
        <f t="shared" si="13"/>
        <v>Yes</v>
      </c>
      <c r="AC39" s="82">
        <f t="shared" si="24"/>
        <v>2.4300000000000002</v>
      </c>
      <c r="AD39" s="82">
        <f t="shared" si="25"/>
        <v>7.0000000000000007E-2</v>
      </c>
      <c r="AE39" s="45">
        <f t="shared" si="26"/>
        <v>119046.99581652276</v>
      </c>
      <c r="AF39" s="45">
        <f t="shared" si="14"/>
        <v>347726.04252940032</v>
      </c>
      <c r="AG39" s="45">
        <f t="shared" si="15"/>
        <v>466773.03834592307</v>
      </c>
      <c r="AH39" s="47">
        <f>IFERROR(ROUNDDOWN(INDEX('90% of ACR'!K:K,MATCH(H:H,'90% of ACR'!A:A,0))*IF(I39&gt;0,IF(O39&gt;0,$R$4*MAX(O39-V39,0),0),0)/I39,2),0)</f>
        <v>2.33</v>
      </c>
      <c r="AI39" s="82">
        <f>IFERROR(ROUNDDOWN(INDEX('90% of ACR'!R:R,MATCH(H:H,'90% of ACR'!A:A,0))*IF(J39&gt;0,IF(P39&gt;0,$R$4*MAX(P39-W39,0),0),0)/J39,2),0)</f>
        <v>7.0000000000000007E-2</v>
      </c>
      <c r="AJ39" s="45">
        <f t="shared" si="16"/>
        <v>114147.94249073992</v>
      </c>
      <c r="AK39" s="45">
        <f t="shared" si="17"/>
        <v>347726.04252940032</v>
      </c>
      <c r="AL39" s="47">
        <f t="shared" si="18"/>
        <v>2.42</v>
      </c>
      <c r="AM39" s="47">
        <f t="shared" si="19"/>
        <v>0.52</v>
      </c>
      <c r="AN39" s="83">
        <f>IFERROR(INDEX('Fee Calc'!P:P,MATCH(C39,'Fee Calc'!F:F,0)),0)</f>
        <v>2701664.8349880609</v>
      </c>
      <c r="AO39" s="83">
        <f>IFERROR(INDEX('Fee Calc'!Q:Q,MATCH(C39,'Fee Calc'!F:F,0)),0)</f>
        <v>165974.78883061127</v>
      </c>
      <c r="AP39" s="83">
        <f t="shared" si="20"/>
        <v>2867639.6238186723</v>
      </c>
      <c r="AQ39" s="70">
        <f t="shared" si="21"/>
        <v>1224573.8838385353</v>
      </c>
      <c r="AR39" s="70">
        <f t="shared" si="22"/>
        <v>612286.94191926764</v>
      </c>
      <c r="AS39" s="70">
        <f t="shared" si="23"/>
        <v>612286.94191926764</v>
      </c>
    </row>
    <row r="40" spans="1:45">
      <c r="A40" s="104" t="s">
        <v>120</v>
      </c>
      <c r="B40" s="31" t="s">
        <v>120</v>
      </c>
      <c r="C40" s="31" t="s">
        <v>121</v>
      </c>
      <c r="D40" s="43" t="s">
        <v>121</v>
      </c>
      <c r="E40" s="119" t="s">
        <v>2746</v>
      </c>
      <c r="F40" s="44" t="s">
        <v>2279</v>
      </c>
      <c r="G40" s="43" t="s">
        <v>1365</v>
      </c>
      <c r="H40" s="43" t="str">
        <f t="shared" si="2"/>
        <v>Urban Tarrant</v>
      </c>
      <c r="I40" s="45">
        <f>INDEX('Fee Calc'!M:M,MATCH(C:C,'Fee Calc'!F:F,0))</f>
        <v>0</v>
      </c>
      <c r="J40" s="45">
        <f>INDEX('Fee Calc'!L:L,MATCH(C:C,'Fee Calc'!F:F,0))</f>
        <v>556193.10259927716</v>
      </c>
      <c r="K40" s="45">
        <f t="shared" si="3"/>
        <v>556193.10259927716</v>
      </c>
      <c r="L40" s="45">
        <v>42566.86</v>
      </c>
      <c r="M40" s="45">
        <v>306043.07</v>
      </c>
      <c r="N40" s="45">
        <f t="shared" si="4"/>
        <v>348609.93</v>
      </c>
      <c r="O40" s="45">
        <v>60793.592824062056</v>
      </c>
      <c r="P40" s="45">
        <v>1145493.2623214552</v>
      </c>
      <c r="Q40" s="45">
        <f t="shared" si="5"/>
        <v>1206286.8551455173</v>
      </c>
      <c r="R40" s="45" t="str">
        <f t="shared" si="6"/>
        <v>Yes</v>
      </c>
      <c r="S40" s="46" t="str">
        <f t="shared" si="7"/>
        <v>Yes</v>
      </c>
      <c r="T40" s="47">
        <f>ROUND(INDEX(Summary!H:H,MATCH(H:H,Summary!A:A,0)),2)</f>
        <v>0.74</v>
      </c>
      <c r="U40" s="47">
        <f>ROUND(INDEX(Summary!I:I,MATCH(H:H,Summary!A:A,0)),2)</f>
        <v>0.49</v>
      </c>
      <c r="V40" s="81">
        <f t="shared" si="8"/>
        <v>0</v>
      </c>
      <c r="W40" s="81">
        <f t="shared" si="9"/>
        <v>272534.62027364579</v>
      </c>
      <c r="X40" s="45">
        <f t="shared" si="10"/>
        <v>272534.62027364579</v>
      </c>
      <c r="Y40" s="45" t="s">
        <v>2752</v>
      </c>
      <c r="Z40" s="45" t="str">
        <f t="shared" si="11"/>
        <v>No</v>
      </c>
      <c r="AA40" s="45" t="str">
        <f t="shared" si="12"/>
        <v>Yes</v>
      </c>
      <c r="AB40" s="45" t="str">
        <f t="shared" si="13"/>
        <v>Yes</v>
      </c>
      <c r="AC40" s="82">
        <f t="shared" si="24"/>
        <v>0</v>
      </c>
      <c r="AD40" s="82">
        <f t="shared" si="25"/>
        <v>1.0900000000000001</v>
      </c>
      <c r="AE40" s="45">
        <f t="shared" si="26"/>
        <v>0</v>
      </c>
      <c r="AF40" s="45">
        <f t="shared" si="14"/>
        <v>606250.48183321219</v>
      </c>
      <c r="AG40" s="45">
        <f t="shared" si="15"/>
        <v>606250.48183321219</v>
      </c>
      <c r="AH40" s="47">
        <f>IFERROR(ROUNDDOWN(INDEX('90% of ACR'!K:K,MATCH(H:H,'90% of ACR'!A:A,0))*IF(I40&gt;0,IF(O40&gt;0,$R$4*MAX(O40-V40,0),0),0)/I40,2),0)</f>
        <v>0</v>
      </c>
      <c r="AI40" s="82">
        <f>IFERROR(ROUNDDOWN(INDEX('90% of ACR'!R:R,MATCH(H:H,'90% of ACR'!A:A,0))*IF(J40&gt;0,IF(P40&gt;0,$R$4*MAX(P40-W40,0),0),0)/J40,2),0)</f>
        <v>1.06</v>
      </c>
      <c r="AJ40" s="45">
        <f t="shared" si="16"/>
        <v>0</v>
      </c>
      <c r="AK40" s="45">
        <f t="shared" si="17"/>
        <v>589564.68875523377</v>
      </c>
      <c r="AL40" s="47">
        <f t="shared" si="18"/>
        <v>0.74</v>
      </c>
      <c r="AM40" s="47">
        <f t="shared" si="19"/>
        <v>1.55</v>
      </c>
      <c r="AN40" s="83">
        <f>IFERROR(INDEX('Fee Calc'!P:P,MATCH(C40,'Fee Calc'!F:F,0)),0)</f>
        <v>862099.30902887962</v>
      </c>
      <c r="AO40" s="83">
        <f>IFERROR(INDEX('Fee Calc'!Q:Q,MATCH(C40,'Fee Calc'!F:F,0)),0)</f>
        <v>52594.918057464805</v>
      </c>
      <c r="AP40" s="83">
        <f t="shared" si="20"/>
        <v>914694.22708634438</v>
      </c>
      <c r="AQ40" s="70">
        <f t="shared" si="21"/>
        <v>390603.7051811358</v>
      </c>
      <c r="AR40" s="70">
        <f t="shared" si="22"/>
        <v>195301.8525905679</v>
      </c>
      <c r="AS40" s="70">
        <f t="shared" si="23"/>
        <v>195301.8525905679</v>
      </c>
    </row>
    <row r="41" spans="1:45">
      <c r="A41" s="104" t="s">
        <v>798</v>
      </c>
      <c r="B41" s="31" t="s">
        <v>798</v>
      </c>
      <c r="C41" s="31" t="s">
        <v>799</v>
      </c>
      <c r="D41" s="43" t="s">
        <v>799</v>
      </c>
      <c r="E41" s="119" t="s">
        <v>2792</v>
      </c>
      <c r="F41" s="44" t="s">
        <v>2291</v>
      </c>
      <c r="G41" s="43" t="s">
        <v>1550</v>
      </c>
      <c r="H41" s="43" t="str">
        <f t="shared" si="2"/>
        <v>Rural Jefferson</v>
      </c>
      <c r="I41" s="45">
        <f>INDEX('Fee Calc'!M:M,MATCH(C:C,'Fee Calc'!F:F,0))</f>
        <v>33502.958223876165</v>
      </c>
      <c r="J41" s="45">
        <f>INDEX('Fee Calc'!L:L,MATCH(C:C,'Fee Calc'!F:F,0))</f>
        <v>635412.56477203243</v>
      </c>
      <c r="K41" s="45">
        <f t="shared" si="3"/>
        <v>668915.52299590863</v>
      </c>
      <c r="L41" s="45">
        <v>61305.08</v>
      </c>
      <c r="M41" s="45">
        <v>80650.429999999993</v>
      </c>
      <c r="N41" s="45">
        <f t="shared" si="4"/>
        <v>141955.51</v>
      </c>
      <c r="O41" s="45">
        <v>-12506.35994434261</v>
      </c>
      <c r="P41" s="45">
        <v>132041.37624716715</v>
      </c>
      <c r="Q41" s="45">
        <f t="shared" si="5"/>
        <v>119535.01630282454</v>
      </c>
      <c r="R41" s="45" t="str">
        <f t="shared" si="6"/>
        <v>No</v>
      </c>
      <c r="S41" s="46" t="str">
        <f t="shared" si="7"/>
        <v>Yes</v>
      </c>
      <c r="T41" s="47">
        <f>ROUND(INDEX(Summary!H:H,MATCH(H:H,Summary!A:A,0)),2)</f>
        <v>0</v>
      </c>
      <c r="U41" s="47">
        <f>ROUND(INDEX(Summary!I:I,MATCH(H:H,Summary!A:A,0)),2)</f>
        <v>0.22</v>
      </c>
      <c r="V41" s="81">
        <f t="shared" si="8"/>
        <v>0</v>
      </c>
      <c r="W41" s="81">
        <f t="shared" si="9"/>
        <v>139790.76424984713</v>
      </c>
      <c r="X41" s="45">
        <f t="shared" si="10"/>
        <v>139790.76424984713</v>
      </c>
      <c r="Y41" s="45" t="s">
        <v>2752</v>
      </c>
      <c r="Z41" s="45" t="str">
        <f t="shared" si="11"/>
        <v>No</v>
      </c>
      <c r="AA41" s="45" t="str">
        <f t="shared" si="12"/>
        <v>No</v>
      </c>
      <c r="AB41" s="45" t="str">
        <f t="shared" si="13"/>
        <v>No</v>
      </c>
      <c r="AC41" s="82">
        <f t="shared" si="24"/>
        <v>0</v>
      </c>
      <c r="AD41" s="82">
        <f t="shared" si="25"/>
        <v>0</v>
      </c>
      <c r="AE41" s="45">
        <f t="shared" si="26"/>
        <v>0</v>
      </c>
      <c r="AF41" s="45">
        <f t="shared" si="14"/>
        <v>0</v>
      </c>
      <c r="AG41" s="45">
        <f t="shared" si="15"/>
        <v>0</v>
      </c>
      <c r="AH41" s="47">
        <f>IFERROR(ROUNDDOWN(INDEX('90% of ACR'!K:K,MATCH(H:H,'90% of ACR'!A:A,0))*IF(I41&gt;0,IF(O41&gt;0,$R$4*MAX(O41-V41,0),0),0)/I41,2),0)</f>
        <v>0</v>
      </c>
      <c r="AI41" s="82">
        <f>IFERROR(ROUNDDOWN(INDEX('90% of ACR'!R:R,MATCH(H:H,'90% of ACR'!A:A,0))*IF(J41&gt;0,IF(P41&gt;0,$R$4*MAX(P41-W41,0),0),0)/J41,2),0)</f>
        <v>0</v>
      </c>
      <c r="AJ41" s="45">
        <f t="shared" si="16"/>
        <v>0</v>
      </c>
      <c r="AK41" s="45">
        <f t="shared" si="17"/>
        <v>0</v>
      </c>
      <c r="AL41" s="47">
        <f t="shared" si="18"/>
        <v>0</v>
      </c>
      <c r="AM41" s="47">
        <f t="shared" si="19"/>
        <v>0.22</v>
      </c>
      <c r="AN41" s="83">
        <f>IFERROR(INDEX('Fee Calc'!P:P,MATCH(C41,'Fee Calc'!F:F,0)),0)</f>
        <v>139790.76424984713</v>
      </c>
      <c r="AO41" s="83">
        <f>IFERROR(INDEX('Fee Calc'!Q:Q,MATCH(C41,'Fee Calc'!F:F,0)),0)</f>
        <v>8652.0025956949976</v>
      </c>
      <c r="AP41" s="83">
        <f t="shared" si="20"/>
        <v>148442.76684554212</v>
      </c>
      <c r="AQ41" s="70">
        <f t="shared" si="21"/>
        <v>63389.811611585537</v>
      </c>
      <c r="AR41" s="70">
        <f t="shared" si="22"/>
        <v>31694.905805792769</v>
      </c>
      <c r="AS41" s="70">
        <f t="shared" si="23"/>
        <v>31694.905805792769</v>
      </c>
    </row>
    <row r="42" spans="1:45">
      <c r="A42" s="104" t="s">
        <v>1177</v>
      </c>
      <c r="B42" s="31" t="s">
        <v>1177</v>
      </c>
      <c r="C42" s="31" t="s">
        <v>1178</v>
      </c>
      <c r="D42" s="43" t="s">
        <v>1178</v>
      </c>
      <c r="E42" s="119" t="s">
        <v>2565</v>
      </c>
      <c r="F42" s="44" t="s">
        <v>2291</v>
      </c>
      <c r="G42" s="43" t="s">
        <v>1526</v>
      </c>
      <c r="H42" s="43" t="str">
        <f t="shared" si="2"/>
        <v>Rural Lubbock</v>
      </c>
      <c r="I42" s="45">
        <f>INDEX('Fee Calc'!M:M,MATCH(C:C,'Fee Calc'!F:F,0))</f>
        <v>40498.036371359587</v>
      </c>
      <c r="J42" s="45">
        <f>INDEX('Fee Calc'!L:L,MATCH(C:C,'Fee Calc'!F:F,0))</f>
        <v>354844.25379343552</v>
      </c>
      <c r="K42" s="45">
        <f t="shared" si="3"/>
        <v>395342.29016479512</v>
      </c>
      <c r="L42" s="45">
        <v>56850.14</v>
      </c>
      <c r="M42" s="45">
        <v>-5947.65</v>
      </c>
      <c r="N42" s="45">
        <f t="shared" si="4"/>
        <v>50902.49</v>
      </c>
      <c r="O42" s="45">
        <v>36557.346724628514</v>
      </c>
      <c r="P42" s="45">
        <v>45636.212695210415</v>
      </c>
      <c r="Q42" s="45">
        <f t="shared" si="5"/>
        <v>82193.55941983893</v>
      </c>
      <c r="R42" s="45" t="str">
        <f t="shared" si="6"/>
        <v>Yes</v>
      </c>
      <c r="S42" s="46" t="str">
        <f t="shared" si="7"/>
        <v>Yes</v>
      </c>
      <c r="T42" s="47">
        <f>ROUND(INDEX(Summary!H:H,MATCH(H:H,Summary!A:A,0)),2)</f>
        <v>0.49</v>
      </c>
      <c r="U42" s="47">
        <f>ROUND(INDEX(Summary!I:I,MATCH(H:H,Summary!A:A,0)),2)</f>
        <v>0.18</v>
      </c>
      <c r="V42" s="81">
        <f t="shared" si="8"/>
        <v>19844.037821966198</v>
      </c>
      <c r="W42" s="81">
        <f t="shared" si="9"/>
        <v>63871.965682818394</v>
      </c>
      <c r="X42" s="45">
        <f t="shared" si="10"/>
        <v>83716.003504784589</v>
      </c>
      <c r="Y42" s="45" t="s">
        <v>2752</v>
      </c>
      <c r="Z42" s="45" t="str">
        <f t="shared" si="11"/>
        <v>No</v>
      </c>
      <c r="AA42" s="45" t="str">
        <f t="shared" si="12"/>
        <v>No</v>
      </c>
      <c r="AB42" s="45" t="str">
        <f t="shared" si="13"/>
        <v>Yes</v>
      </c>
      <c r="AC42" s="82">
        <f t="shared" si="24"/>
        <v>0.28999999999999998</v>
      </c>
      <c r="AD42" s="82">
        <f t="shared" si="25"/>
        <v>0</v>
      </c>
      <c r="AE42" s="45">
        <f t="shared" si="26"/>
        <v>11744.430547694279</v>
      </c>
      <c r="AF42" s="45">
        <f t="shared" si="14"/>
        <v>0</v>
      </c>
      <c r="AG42" s="45">
        <f t="shared" si="15"/>
        <v>11744.430547694279</v>
      </c>
      <c r="AH42" s="47">
        <f>IFERROR(ROUNDDOWN(INDEX('90% of ACR'!K:K,MATCH(H:H,'90% of ACR'!A:A,0))*IF(I42&gt;0,IF(O42&gt;0,$R$4*MAX(O42-V42,0),0),0)/I42,2),0)</f>
        <v>0</v>
      </c>
      <c r="AI42" s="82">
        <f>IFERROR(ROUNDDOWN(INDEX('90% of ACR'!R:R,MATCH(H:H,'90% of ACR'!A:A,0))*IF(J42&gt;0,IF(P42&gt;0,$R$4*MAX(P42-W42,0),0),0)/J42,2),0)</f>
        <v>0</v>
      </c>
      <c r="AJ42" s="45">
        <f t="shared" si="16"/>
        <v>0</v>
      </c>
      <c r="AK42" s="45">
        <f t="shared" si="17"/>
        <v>0</v>
      </c>
      <c r="AL42" s="47">
        <f t="shared" si="18"/>
        <v>0.49</v>
      </c>
      <c r="AM42" s="47">
        <f t="shared" si="19"/>
        <v>0.18</v>
      </c>
      <c r="AN42" s="83">
        <f>IFERROR(INDEX('Fee Calc'!P:P,MATCH(C42,'Fee Calc'!F:F,0)),0)</f>
        <v>83716.003504784589</v>
      </c>
      <c r="AO42" s="83">
        <f>IFERROR(INDEX('Fee Calc'!Q:Q,MATCH(C42,'Fee Calc'!F:F,0)),0)</f>
        <v>5147.9639791948648</v>
      </c>
      <c r="AP42" s="83">
        <f t="shared" si="20"/>
        <v>88863.967483979446</v>
      </c>
      <c r="AQ42" s="70">
        <f t="shared" si="21"/>
        <v>37947.757762618712</v>
      </c>
      <c r="AR42" s="70">
        <f t="shared" si="22"/>
        <v>18973.878881309356</v>
      </c>
      <c r="AS42" s="70">
        <f t="shared" si="23"/>
        <v>18973.878881309356</v>
      </c>
    </row>
    <row r="43" spans="1:45">
      <c r="A43" s="104" t="s">
        <v>1705</v>
      </c>
      <c r="B43" s="31" t="s">
        <v>1705</v>
      </c>
      <c r="C43" s="31" t="s">
        <v>1706</v>
      </c>
      <c r="D43" s="43" t="s">
        <v>1706</v>
      </c>
      <c r="E43" s="119" t="s">
        <v>2603</v>
      </c>
      <c r="F43" s="44" t="s">
        <v>2291</v>
      </c>
      <c r="G43" s="43" t="s">
        <v>1486</v>
      </c>
      <c r="H43" s="43" t="str">
        <f t="shared" si="2"/>
        <v>Rural MRSA Central</v>
      </c>
      <c r="I43" s="45">
        <f>INDEX('Fee Calc'!M:M,MATCH(C:C,'Fee Calc'!F:F,0))</f>
        <v>147003.09776399954</v>
      </c>
      <c r="J43" s="45">
        <f>INDEX('Fee Calc'!L:L,MATCH(C:C,'Fee Calc'!F:F,0))</f>
        <v>539118.07815953961</v>
      </c>
      <c r="K43" s="45">
        <f t="shared" si="3"/>
        <v>686121.17592353909</v>
      </c>
      <c r="L43" s="45">
        <v>42300.24</v>
      </c>
      <c r="M43" s="45">
        <v>15717.99</v>
      </c>
      <c r="N43" s="45">
        <f t="shared" si="4"/>
        <v>58018.229999999996</v>
      </c>
      <c r="O43" s="45">
        <v>-22566.715848559717</v>
      </c>
      <c r="P43" s="45">
        <v>158427.79123804372</v>
      </c>
      <c r="Q43" s="45">
        <f t="shared" si="5"/>
        <v>135861.075389484</v>
      </c>
      <c r="R43" s="45" t="str">
        <f t="shared" si="6"/>
        <v>No</v>
      </c>
      <c r="S43" s="46" t="str">
        <f t="shared" si="7"/>
        <v>Yes</v>
      </c>
      <c r="T43" s="47">
        <f>ROUND(INDEX(Summary!H:H,MATCH(H:H,Summary!A:A,0)),2)</f>
        <v>0.09</v>
      </c>
      <c r="U43" s="47">
        <f>ROUND(INDEX(Summary!I:I,MATCH(H:H,Summary!A:A,0)),2)</f>
        <v>0.09</v>
      </c>
      <c r="V43" s="81">
        <f t="shared" si="8"/>
        <v>13230.278798759959</v>
      </c>
      <c r="W43" s="81">
        <f t="shared" si="9"/>
        <v>48520.627034358564</v>
      </c>
      <c r="X43" s="45">
        <f t="shared" si="10"/>
        <v>61750.905833118522</v>
      </c>
      <c r="Y43" s="45" t="s">
        <v>2752</v>
      </c>
      <c r="Z43" s="45" t="str">
        <f t="shared" si="11"/>
        <v>No</v>
      </c>
      <c r="AA43" s="45" t="str">
        <f t="shared" si="12"/>
        <v>Yes</v>
      </c>
      <c r="AB43" s="45" t="str">
        <f t="shared" si="13"/>
        <v>Yes</v>
      </c>
      <c r="AC43" s="82">
        <f t="shared" si="24"/>
        <v>0</v>
      </c>
      <c r="AD43" s="82">
        <f t="shared" si="25"/>
        <v>0.14000000000000001</v>
      </c>
      <c r="AE43" s="45">
        <f t="shared" si="26"/>
        <v>0</v>
      </c>
      <c r="AF43" s="45">
        <f t="shared" si="14"/>
        <v>75476.53094233555</v>
      </c>
      <c r="AG43" s="45">
        <f t="shared" si="15"/>
        <v>75476.53094233555</v>
      </c>
      <c r="AH43" s="47">
        <f>IFERROR(ROUNDDOWN(INDEX('90% of ACR'!K:K,MATCH(H:H,'90% of ACR'!A:A,0))*IF(I43&gt;0,IF(O43&gt;0,$R$4*MAX(O43-V43,0),0),0)/I43,2),0)</f>
        <v>0</v>
      </c>
      <c r="AI43" s="82">
        <f>IFERROR(ROUNDDOWN(INDEX('90% of ACR'!R:R,MATCH(H:H,'90% of ACR'!A:A,0))*IF(J43&gt;0,IF(P43&gt;0,$R$4*MAX(P43-W43,0),0),0)/J43,2),0)</f>
        <v>0.14000000000000001</v>
      </c>
      <c r="AJ43" s="45">
        <f t="shared" si="16"/>
        <v>0</v>
      </c>
      <c r="AK43" s="45">
        <f t="shared" si="17"/>
        <v>75476.53094233555</v>
      </c>
      <c r="AL43" s="47">
        <f t="shared" si="18"/>
        <v>0.09</v>
      </c>
      <c r="AM43" s="47">
        <f t="shared" si="19"/>
        <v>0.23</v>
      </c>
      <c r="AN43" s="83">
        <f>IFERROR(INDEX('Fee Calc'!P:P,MATCH(C43,'Fee Calc'!F:F,0)),0)</f>
        <v>137227.43677545409</v>
      </c>
      <c r="AO43" s="83">
        <f>IFERROR(INDEX('Fee Calc'!Q:Q,MATCH(C43,'Fee Calc'!F:F,0)),0)</f>
        <v>8508.5491739178706</v>
      </c>
      <c r="AP43" s="83">
        <f t="shared" si="20"/>
        <v>145735.98594937197</v>
      </c>
      <c r="AQ43" s="70">
        <f t="shared" si="21"/>
        <v>62233.929551932211</v>
      </c>
      <c r="AR43" s="70">
        <f t="shared" si="22"/>
        <v>31116.964775966106</v>
      </c>
      <c r="AS43" s="70">
        <f t="shared" si="23"/>
        <v>31116.964775966106</v>
      </c>
    </row>
    <row r="44" spans="1:45">
      <c r="A44" s="104" t="s">
        <v>786</v>
      </c>
      <c r="B44" s="31" t="s">
        <v>786</v>
      </c>
      <c r="C44" s="31" t="s">
        <v>787</v>
      </c>
      <c r="D44" s="48" t="s">
        <v>787</v>
      </c>
      <c r="E44" s="119" t="s">
        <v>2793</v>
      </c>
      <c r="F44" s="44" t="s">
        <v>2291</v>
      </c>
      <c r="G44" s="44" t="s">
        <v>1526</v>
      </c>
      <c r="H44" s="43" t="str">
        <f t="shared" si="2"/>
        <v>Rural Lubbock</v>
      </c>
      <c r="I44" s="45">
        <f>INDEX('Fee Calc'!M:M,MATCH(C:C,'Fee Calc'!F:F,0))</f>
        <v>400342.17280382657</v>
      </c>
      <c r="J44" s="45">
        <f>INDEX('Fee Calc'!L:L,MATCH(C:C,'Fee Calc'!F:F,0))</f>
        <v>356339.99839551473</v>
      </c>
      <c r="K44" s="45">
        <f t="shared" si="3"/>
        <v>756682.1711993413</v>
      </c>
      <c r="L44" s="45">
        <v>884907.54</v>
      </c>
      <c r="M44" s="45">
        <v>160400.79</v>
      </c>
      <c r="N44" s="45">
        <f t="shared" si="4"/>
        <v>1045308.3300000001</v>
      </c>
      <c r="O44" s="45">
        <v>93870.877275271487</v>
      </c>
      <c r="P44" s="45">
        <v>180049.99396254902</v>
      </c>
      <c r="Q44" s="45">
        <f t="shared" si="5"/>
        <v>273920.87123782048</v>
      </c>
      <c r="R44" s="45" t="str">
        <f t="shared" si="6"/>
        <v>Yes</v>
      </c>
      <c r="S44" s="46" t="str">
        <f t="shared" si="7"/>
        <v>Yes</v>
      </c>
      <c r="T44" s="47">
        <f>ROUND(INDEX(Summary!H:H,MATCH(H:H,Summary!A:A,0)),2)</f>
        <v>0.49</v>
      </c>
      <c r="U44" s="47">
        <f>ROUND(INDEX(Summary!I:I,MATCH(H:H,Summary!A:A,0)),2)</f>
        <v>0.18</v>
      </c>
      <c r="V44" s="81">
        <f t="shared" si="8"/>
        <v>196167.66467387503</v>
      </c>
      <c r="W44" s="81">
        <f t="shared" si="9"/>
        <v>64141.199711192647</v>
      </c>
      <c r="X44" s="45">
        <f t="shared" si="10"/>
        <v>260308.86438506766</v>
      </c>
      <c r="Y44" s="45" t="s">
        <v>2752</v>
      </c>
      <c r="Z44" s="45" t="str">
        <f t="shared" si="11"/>
        <v>No</v>
      </c>
      <c r="AA44" s="45" t="str">
        <f t="shared" si="12"/>
        <v>Yes</v>
      </c>
      <c r="AB44" s="45" t="str">
        <f t="shared" si="13"/>
        <v>Yes</v>
      </c>
      <c r="AC44" s="82">
        <f t="shared" si="24"/>
        <v>0</v>
      </c>
      <c r="AD44" s="82">
        <f t="shared" si="25"/>
        <v>0.23</v>
      </c>
      <c r="AE44" s="45">
        <f t="shared" si="26"/>
        <v>0</v>
      </c>
      <c r="AF44" s="45">
        <f t="shared" si="14"/>
        <v>81958.199630968389</v>
      </c>
      <c r="AG44" s="45">
        <f t="shared" si="15"/>
        <v>81958.199630968389</v>
      </c>
      <c r="AH44" s="47">
        <f>IFERROR(ROUNDDOWN(INDEX('90% of ACR'!K:K,MATCH(H:H,'90% of ACR'!A:A,0))*IF(I44&gt;0,IF(O44&gt;0,$R$4*MAX(O44-V44,0),0),0)/I44,2),0)</f>
        <v>0</v>
      </c>
      <c r="AI44" s="82">
        <f>IFERROR(ROUNDDOWN(INDEX('90% of ACR'!R:R,MATCH(H:H,'90% of ACR'!A:A,0))*IF(J44&gt;0,IF(P44&gt;0,$R$4*MAX(P44-W44,0),0),0)/J44,2),0)</f>
        <v>0.18</v>
      </c>
      <c r="AJ44" s="45">
        <f t="shared" si="16"/>
        <v>0</v>
      </c>
      <c r="AK44" s="45">
        <f t="shared" si="17"/>
        <v>64141.199711192647</v>
      </c>
      <c r="AL44" s="47">
        <f t="shared" si="18"/>
        <v>0.49</v>
      </c>
      <c r="AM44" s="47">
        <f t="shared" si="19"/>
        <v>0.36</v>
      </c>
      <c r="AN44" s="83">
        <f>IFERROR(INDEX('Fee Calc'!P:P,MATCH(C44,'Fee Calc'!F:F,0)),0)</f>
        <v>324450.06409626035</v>
      </c>
      <c r="AO44" s="83">
        <f>IFERROR(INDEX('Fee Calc'!Q:Q,MATCH(C44,'Fee Calc'!F:F,0)),0)</f>
        <v>19916.349769807799</v>
      </c>
      <c r="AP44" s="83">
        <f t="shared" si="20"/>
        <v>344366.41386606812</v>
      </c>
      <c r="AQ44" s="70">
        <f t="shared" si="21"/>
        <v>147055.4784460548</v>
      </c>
      <c r="AR44" s="70">
        <f t="shared" si="22"/>
        <v>73527.739223027398</v>
      </c>
      <c r="AS44" s="70">
        <f t="shared" si="23"/>
        <v>73527.739223027398</v>
      </c>
    </row>
    <row r="45" spans="1:45">
      <c r="A45" s="104" t="s">
        <v>106</v>
      </c>
      <c r="B45" s="31" t="s">
        <v>106</v>
      </c>
      <c r="C45" s="31" t="s">
        <v>107</v>
      </c>
      <c r="D45" s="43" t="s">
        <v>107</v>
      </c>
      <c r="E45" s="119" t="s">
        <v>2591</v>
      </c>
      <c r="F45" s="44" t="s">
        <v>2291</v>
      </c>
      <c r="G45" s="43" t="s">
        <v>227</v>
      </c>
      <c r="H45" s="43" t="str">
        <f t="shared" si="2"/>
        <v>Rural MRSA West</v>
      </c>
      <c r="I45" s="45">
        <f>INDEX('Fee Calc'!M:M,MATCH(C:C,'Fee Calc'!F:F,0))</f>
        <v>246885.37556123431</v>
      </c>
      <c r="J45" s="45">
        <f>INDEX('Fee Calc'!L:L,MATCH(C:C,'Fee Calc'!F:F,0))</f>
        <v>980683.55730162095</v>
      </c>
      <c r="K45" s="45">
        <f t="shared" si="3"/>
        <v>1227568.9328628553</v>
      </c>
      <c r="L45" s="45">
        <v>114458.78</v>
      </c>
      <c r="M45" s="45">
        <v>204700.55</v>
      </c>
      <c r="N45" s="45">
        <f t="shared" si="4"/>
        <v>319159.32999999996</v>
      </c>
      <c r="O45" s="45">
        <v>-68328.351084458365</v>
      </c>
      <c r="P45" s="45">
        <v>19763.93076844333</v>
      </c>
      <c r="Q45" s="45">
        <f t="shared" si="5"/>
        <v>-48564.420316015035</v>
      </c>
      <c r="R45" s="45" t="str">
        <f t="shared" si="6"/>
        <v>No</v>
      </c>
      <c r="S45" s="46" t="str">
        <f t="shared" si="7"/>
        <v>Yes</v>
      </c>
      <c r="T45" s="47">
        <f>ROUND(INDEX(Summary!H:H,MATCH(H:H,Summary!A:A,0)),2)</f>
        <v>0</v>
      </c>
      <c r="U45" s="47">
        <f>ROUND(INDEX(Summary!I:I,MATCH(H:H,Summary!A:A,0)),2)</f>
        <v>0.2</v>
      </c>
      <c r="V45" s="81">
        <f t="shared" si="8"/>
        <v>0</v>
      </c>
      <c r="W45" s="81">
        <f t="shared" si="9"/>
        <v>196136.71146032421</v>
      </c>
      <c r="X45" s="45">
        <f t="shared" si="10"/>
        <v>196136.71146032421</v>
      </c>
      <c r="Y45" s="45" t="s">
        <v>2752</v>
      </c>
      <c r="Z45" s="45" t="str">
        <f t="shared" si="11"/>
        <v>No</v>
      </c>
      <c r="AA45" s="45" t="str">
        <f t="shared" si="12"/>
        <v>No</v>
      </c>
      <c r="AB45" s="45" t="str">
        <f t="shared" si="13"/>
        <v>No</v>
      </c>
      <c r="AC45" s="82">
        <f t="shared" si="24"/>
        <v>0</v>
      </c>
      <c r="AD45" s="82">
        <f t="shared" si="25"/>
        <v>0</v>
      </c>
      <c r="AE45" s="45">
        <f t="shared" si="26"/>
        <v>0</v>
      </c>
      <c r="AF45" s="45">
        <f t="shared" si="14"/>
        <v>0</v>
      </c>
      <c r="AG45" s="45">
        <f t="shared" si="15"/>
        <v>0</v>
      </c>
      <c r="AH45" s="47">
        <f>IFERROR(ROUNDDOWN(INDEX('90% of ACR'!K:K,MATCH(H:H,'90% of ACR'!A:A,0))*IF(I45&gt;0,IF(O45&gt;0,$R$4*MAX(O45-V45,0),0),0)/I45,2),0)</f>
        <v>0</v>
      </c>
      <c r="AI45" s="82">
        <f>IFERROR(ROUNDDOWN(INDEX('90% of ACR'!R:R,MATCH(H:H,'90% of ACR'!A:A,0))*IF(J45&gt;0,IF(P45&gt;0,$R$4*MAX(P45-W45,0),0),0)/J45,2),0)</f>
        <v>0</v>
      </c>
      <c r="AJ45" s="45">
        <f t="shared" si="16"/>
        <v>0</v>
      </c>
      <c r="AK45" s="45">
        <f t="shared" si="17"/>
        <v>0</v>
      </c>
      <c r="AL45" s="47">
        <f t="shared" si="18"/>
        <v>0</v>
      </c>
      <c r="AM45" s="47">
        <f t="shared" si="19"/>
        <v>0.2</v>
      </c>
      <c r="AN45" s="83">
        <f>IFERROR(INDEX('Fee Calc'!P:P,MATCH(C45,'Fee Calc'!F:F,0)),0)</f>
        <v>196136.71146032421</v>
      </c>
      <c r="AO45" s="83">
        <f>IFERROR(INDEX('Fee Calc'!Q:Q,MATCH(C45,'Fee Calc'!F:F,0)),0)</f>
        <v>12038.411786581328</v>
      </c>
      <c r="AP45" s="83">
        <f t="shared" si="20"/>
        <v>208175.12324690554</v>
      </c>
      <c r="AQ45" s="70">
        <f t="shared" si="21"/>
        <v>88897.439230372562</v>
      </c>
      <c r="AR45" s="70">
        <f t="shared" si="22"/>
        <v>44448.719615186281</v>
      </c>
      <c r="AS45" s="70">
        <f t="shared" si="23"/>
        <v>44448.719615186281</v>
      </c>
    </row>
    <row r="46" spans="1:45">
      <c r="A46" s="104" t="s">
        <v>611</v>
      </c>
      <c r="B46" s="31" t="s">
        <v>611</v>
      </c>
      <c r="C46" s="31" t="s">
        <v>612</v>
      </c>
      <c r="D46" s="43" t="s">
        <v>612</v>
      </c>
      <c r="E46" s="119" t="s">
        <v>2573</v>
      </c>
      <c r="F46" s="44" t="s">
        <v>2279</v>
      </c>
      <c r="G46" s="43" t="s">
        <v>1548</v>
      </c>
      <c r="H46" s="43" t="str">
        <f t="shared" si="2"/>
        <v>Urban Nueces</v>
      </c>
      <c r="I46" s="45">
        <f>INDEX('Fee Calc'!M:M,MATCH(C:C,'Fee Calc'!F:F,0))</f>
        <v>3074650.6324100764</v>
      </c>
      <c r="J46" s="45">
        <f>INDEX('Fee Calc'!L:L,MATCH(C:C,'Fee Calc'!F:F,0))</f>
        <v>2790191.610792968</v>
      </c>
      <c r="K46" s="45">
        <f t="shared" si="3"/>
        <v>5864842.2432030439</v>
      </c>
      <c r="L46" s="45">
        <v>1684986.42</v>
      </c>
      <c r="M46" s="45">
        <v>1831022.7</v>
      </c>
      <c r="N46" s="45">
        <f t="shared" si="4"/>
        <v>3516009.12</v>
      </c>
      <c r="O46" s="45">
        <v>2668097.9911794998</v>
      </c>
      <c r="P46" s="45">
        <v>2523795.2755434215</v>
      </c>
      <c r="Q46" s="45">
        <f t="shared" si="5"/>
        <v>5191893.2667229213</v>
      </c>
      <c r="R46" s="45" t="str">
        <f t="shared" si="6"/>
        <v>Yes</v>
      </c>
      <c r="S46" s="46" t="str">
        <f t="shared" si="7"/>
        <v>Yes</v>
      </c>
      <c r="T46" s="47">
        <f>ROUND(INDEX(Summary!H:H,MATCH(H:H,Summary!A:A,0)),2)</f>
        <v>0.28999999999999998</v>
      </c>
      <c r="U46" s="47">
        <f>ROUND(INDEX(Summary!I:I,MATCH(H:H,Summary!A:A,0)),2)</f>
        <v>0.68</v>
      </c>
      <c r="V46" s="81">
        <f t="shared" si="8"/>
        <v>891648.68339892209</v>
      </c>
      <c r="W46" s="81">
        <f t="shared" si="9"/>
        <v>1897330.2953392183</v>
      </c>
      <c r="X46" s="45">
        <f t="shared" si="10"/>
        <v>2788978.9787381403</v>
      </c>
      <c r="Y46" s="45" t="s">
        <v>2752</v>
      </c>
      <c r="Z46" s="45" t="str">
        <f t="shared" si="11"/>
        <v>Yes</v>
      </c>
      <c r="AA46" s="45" t="str">
        <f t="shared" si="12"/>
        <v>Yes</v>
      </c>
      <c r="AB46" s="45" t="str">
        <f t="shared" si="13"/>
        <v>Yes</v>
      </c>
      <c r="AC46" s="82">
        <f t="shared" si="24"/>
        <v>0.4</v>
      </c>
      <c r="AD46" s="82">
        <f t="shared" si="25"/>
        <v>0.16</v>
      </c>
      <c r="AE46" s="45">
        <f t="shared" si="26"/>
        <v>1229860.2529640307</v>
      </c>
      <c r="AF46" s="45">
        <f t="shared" si="14"/>
        <v>446430.65772687487</v>
      </c>
      <c r="AG46" s="45">
        <f t="shared" si="15"/>
        <v>1676290.9106909055</v>
      </c>
      <c r="AH46" s="47">
        <f>IFERROR(ROUNDDOWN(INDEX('90% of ACR'!K:K,MATCH(H:H,'90% of ACR'!A:A,0))*IF(I46&gt;0,IF(O46&gt;0,$R$4*MAX(O46-V46,0),0),0)/I46,2),0)</f>
        <v>0.4</v>
      </c>
      <c r="AI46" s="82">
        <f>IFERROR(ROUNDDOWN(INDEX('90% of ACR'!R:R,MATCH(H:H,'90% of ACR'!A:A,0))*IF(J46&gt;0,IF(P46&gt;0,$R$4*MAX(P46-W46,0),0),0)/J46,2),0)</f>
        <v>0.13</v>
      </c>
      <c r="AJ46" s="45">
        <f t="shared" si="16"/>
        <v>1229860.2529640307</v>
      </c>
      <c r="AK46" s="45">
        <f t="shared" si="17"/>
        <v>362724.90940308583</v>
      </c>
      <c r="AL46" s="47">
        <f t="shared" si="18"/>
        <v>0.69</v>
      </c>
      <c r="AM46" s="47">
        <f t="shared" si="19"/>
        <v>0.81</v>
      </c>
      <c r="AN46" s="83">
        <f>IFERROR(INDEX('Fee Calc'!P:P,MATCH(C46,'Fee Calc'!F:F,0)),0)</f>
        <v>4381564.141105257</v>
      </c>
      <c r="AO46" s="83">
        <f>IFERROR(INDEX('Fee Calc'!Q:Q,MATCH(C46,'Fee Calc'!F:F,0)),0)</f>
        <v>272303.24112163385</v>
      </c>
      <c r="AP46" s="83">
        <f t="shared" si="20"/>
        <v>4653867.3822268909</v>
      </c>
      <c r="AQ46" s="70">
        <f t="shared" si="21"/>
        <v>1987350.2959671137</v>
      </c>
      <c r="AR46" s="70">
        <f t="shared" si="22"/>
        <v>993675.14798355685</v>
      </c>
      <c r="AS46" s="70">
        <f t="shared" si="23"/>
        <v>993675.14798355685</v>
      </c>
    </row>
    <row r="47" spans="1:45" ht="23.25">
      <c r="A47" s="104" t="s">
        <v>1515</v>
      </c>
      <c r="B47" s="31" t="s">
        <v>1515</v>
      </c>
      <c r="C47" s="31" t="s">
        <v>1516</v>
      </c>
      <c r="D47" s="43" t="s">
        <v>1516</v>
      </c>
      <c r="E47" s="119" t="s">
        <v>2720</v>
      </c>
      <c r="F47" s="44" t="s">
        <v>2529</v>
      </c>
      <c r="G47" s="43" t="s">
        <v>300</v>
      </c>
      <c r="H47" s="43" t="str">
        <f t="shared" si="2"/>
        <v>Non-state-owned IMD Harris</v>
      </c>
      <c r="I47" s="45">
        <f>INDEX('Fee Calc'!M:M,MATCH(C:C,'Fee Calc'!F:F,0))</f>
        <v>1753412.7108707305</v>
      </c>
      <c r="J47" s="45">
        <f>INDEX('Fee Calc'!L:L,MATCH(C:C,'Fee Calc'!F:F,0))</f>
        <v>0</v>
      </c>
      <c r="K47" s="45">
        <f t="shared" si="3"/>
        <v>1753412.7108707305</v>
      </c>
      <c r="L47" s="45">
        <v>539167.54</v>
      </c>
      <c r="M47" s="45">
        <v>0</v>
      </c>
      <c r="N47" s="45">
        <f t="shared" si="4"/>
        <v>539167.54</v>
      </c>
      <c r="O47" s="45">
        <v>440407.60592846852</v>
      </c>
      <c r="P47" s="45">
        <v>0</v>
      </c>
      <c r="Q47" s="45">
        <f t="shared" si="5"/>
        <v>440407.60592846852</v>
      </c>
      <c r="R47" s="45" t="str">
        <f t="shared" si="6"/>
        <v>Yes</v>
      </c>
      <c r="S47" s="46" t="str">
        <f t="shared" si="7"/>
        <v>No</v>
      </c>
      <c r="T47" s="47">
        <f>ROUND(INDEX(Summary!H:H,MATCH(H:H,Summary!A:A,0)),2)</f>
        <v>0.24</v>
      </c>
      <c r="U47" s="47">
        <f>ROUND(INDEX(Summary!I:I,MATCH(H:H,Summary!A:A,0)),2)</f>
        <v>0</v>
      </c>
      <c r="V47" s="81">
        <f t="shared" si="8"/>
        <v>420819.05060897529</v>
      </c>
      <c r="W47" s="81">
        <f t="shared" si="9"/>
        <v>0</v>
      </c>
      <c r="X47" s="45">
        <f t="shared" si="10"/>
        <v>420819.05060897529</v>
      </c>
      <c r="Y47" s="45" t="s">
        <v>2753</v>
      </c>
      <c r="Z47" s="45" t="str">
        <f t="shared" si="11"/>
        <v>No</v>
      </c>
      <c r="AA47" s="45" t="str">
        <f t="shared" si="12"/>
        <v>No</v>
      </c>
      <c r="AB47" s="45" t="str">
        <f t="shared" si="13"/>
        <v>Yes</v>
      </c>
      <c r="AC47" s="82">
        <f t="shared" si="24"/>
        <v>0.01</v>
      </c>
      <c r="AD47" s="82">
        <f t="shared" si="25"/>
        <v>0</v>
      </c>
      <c r="AE47" s="45">
        <f t="shared" si="26"/>
        <v>17534.127108707304</v>
      </c>
      <c r="AF47" s="45">
        <f t="shared" si="14"/>
        <v>0</v>
      </c>
      <c r="AG47" s="45">
        <f t="shared" si="15"/>
        <v>17534.127108707304</v>
      </c>
      <c r="AH47" s="47">
        <f>IFERROR(ROUNDDOWN(INDEX('90% of ACR'!K:K,MATCH(H:H,'90% of ACR'!A:A,0))*IF(I47&gt;0,IF(O47&gt;0,$R$4*MAX(O47-V47,0),0),0)/I47,2),0)</f>
        <v>0</v>
      </c>
      <c r="AI47" s="82">
        <f>IFERROR(ROUNDDOWN(INDEX('90% of ACR'!R:R,MATCH(H:H,'90% of ACR'!A:A,0))*IF(J47&gt;0,IF(P47&gt;0,$R$4*MAX(P47-W47,0),0),0)/J47,2),0)</f>
        <v>0</v>
      </c>
      <c r="AJ47" s="45">
        <f t="shared" si="16"/>
        <v>0</v>
      </c>
      <c r="AK47" s="45">
        <f t="shared" si="17"/>
        <v>0</v>
      </c>
      <c r="AL47" s="47">
        <f t="shared" si="18"/>
        <v>0.24</v>
      </c>
      <c r="AM47" s="47">
        <f t="shared" si="19"/>
        <v>0</v>
      </c>
      <c r="AN47" s="83">
        <f>IFERROR(INDEX('Fee Calc'!P:P,MATCH(C47,'Fee Calc'!F:F,0)),0)</f>
        <v>420819.05060897529</v>
      </c>
      <c r="AO47" s="83">
        <f>IFERROR(INDEX('Fee Calc'!Q:Q,MATCH(C47,'Fee Calc'!F:F,0)),0)</f>
        <v>25673.310779857911</v>
      </c>
      <c r="AP47" s="83">
        <f t="shared" si="20"/>
        <v>446492.3613888332</v>
      </c>
      <c r="AQ47" s="70">
        <f t="shared" si="21"/>
        <v>190666.5260685962</v>
      </c>
      <c r="AR47" s="70">
        <f t="shared" si="22"/>
        <v>95333.263034298099</v>
      </c>
      <c r="AS47" s="70">
        <f t="shared" si="23"/>
        <v>95333.263034298099</v>
      </c>
    </row>
    <row r="48" spans="1:45">
      <c r="A48" s="104" t="s">
        <v>895</v>
      </c>
      <c r="B48" s="31" t="s">
        <v>895</v>
      </c>
      <c r="C48" s="31" t="s">
        <v>896</v>
      </c>
      <c r="D48" s="43" t="s">
        <v>896</v>
      </c>
      <c r="E48" s="119" t="s">
        <v>2457</v>
      </c>
      <c r="F48" s="44" t="s">
        <v>2291</v>
      </c>
      <c r="G48" s="43" t="s">
        <v>227</v>
      </c>
      <c r="H48" s="43" t="str">
        <f t="shared" si="2"/>
        <v>Rural MRSA West</v>
      </c>
      <c r="I48" s="45">
        <f>INDEX('Fee Calc'!M:M,MATCH(C:C,'Fee Calc'!F:F,0))</f>
        <v>1375476.5768600216</v>
      </c>
      <c r="J48" s="45">
        <f>INDEX('Fee Calc'!L:L,MATCH(C:C,'Fee Calc'!F:F,0))</f>
        <v>618298.27445146092</v>
      </c>
      <c r="K48" s="45">
        <f t="shared" si="3"/>
        <v>1993774.8513114825</v>
      </c>
      <c r="L48" s="45">
        <v>-125983.81</v>
      </c>
      <c r="M48" s="45">
        <v>-48677.35</v>
      </c>
      <c r="N48" s="45">
        <f t="shared" si="4"/>
        <v>-174661.16</v>
      </c>
      <c r="O48" s="45">
        <v>138745.64528741932</v>
      </c>
      <c r="P48" s="45">
        <v>317613.86857168138</v>
      </c>
      <c r="Q48" s="45">
        <f t="shared" si="5"/>
        <v>456359.5138591007</v>
      </c>
      <c r="R48" s="45" t="str">
        <f t="shared" si="6"/>
        <v>Yes</v>
      </c>
      <c r="S48" s="46" t="str">
        <f t="shared" si="7"/>
        <v>Yes</v>
      </c>
      <c r="T48" s="47">
        <f>ROUND(INDEX(Summary!H:H,MATCH(H:H,Summary!A:A,0)),2)</f>
        <v>0</v>
      </c>
      <c r="U48" s="47">
        <f>ROUND(INDEX(Summary!I:I,MATCH(H:H,Summary!A:A,0)),2)</f>
        <v>0.2</v>
      </c>
      <c r="V48" s="81">
        <f t="shared" si="8"/>
        <v>0</v>
      </c>
      <c r="W48" s="81">
        <f t="shared" si="9"/>
        <v>123659.65489029219</v>
      </c>
      <c r="X48" s="45">
        <f t="shared" si="10"/>
        <v>123659.65489029219</v>
      </c>
      <c r="Y48" s="45" t="s">
        <v>2753</v>
      </c>
      <c r="Z48" s="45" t="str">
        <f t="shared" si="11"/>
        <v>No</v>
      </c>
      <c r="AA48" s="45" t="str">
        <f t="shared" si="12"/>
        <v>Yes</v>
      </c>
      <c r="AB48" s="45" t="str">
        <f t="shared" si="13"/>
        <v>Yes</v>
      </c>
      <c r="AC48" s="82">
        <f t="shared" si="24"/>
        <v>7.0000000000000007E-2</v>
      </c>
      <c r="AD48" s="82">
        <f t="shared" si="25"/>
        <v>0.22</v>
      </c>
      <c r="AE48" s="45">
        <f t="shared" si="26"/>
        <v>96283.360380201513</v>
      </c>
      <c r="AF48" s="45">
        <f t="shared" si="14"/>
        <v>136025.62037932139</v>
      </c>
      <c r="AG48" s="45">
        <f t="shared" si="15"/>
        <v>232308.98075952291</v>
      </c>
      <c r="AH48" s="47">
        <f>IFERROR(ROUNDDOWN(INDEX('90% of ACR'!K:K,MATCH(H:H,'90% of ACR'!A:A,0))*IF(I48&gt;0,IF(O48&gt;0,$R$4*MAX(O48-V48,0),0),0)/I48,2),0)</f>
        <v>0</v>
      </c>
      <c r="AI48" s="82">
        <f>IFERROR(ROUNDDOWN(INDEX('90% of ACR'!R:R,MATCH(H:H,'90% of ACR'!A:A,0))*IF(J48&gt;0,IF(P48&gt;0,$R$4*MAX(P48-W48,0),0),0)/J48,2),0)</f>
        <v>0.19</v>
      </c>
      <c r="AJ48" s="45">
        <f t="shared" si="16"/>
        <v>0</v>
      </c>
      <c r="AK48" s="45">
        <f t="shared" si="17"/>
        <v>117476.67214577757</v>
      </c>
      <c r="AL48" s="47">
        <f t="shared" si="18"/>
        <v>0</v>
      </c>
      <c r="AM48" s="47">
        <f t="shared" si="19"/>
        <v>0.39</v>
      </c>
      <c r="AN48" s="83">
        <f>IFERROR(INDEX('Fee Calc'!P:P,MATCH(C48,'Fee Calc'!F:F,0)),0)</f>
        <v>241136.32703606976</v>
      </c>
      <c r="AO48" s="83">
        <f>IFERROR(INDEX('Fee Calc'!Q:Q,MATCH(C48,'Fee Calc'!F:F,0)),0)</f>
        <v>14749.905975337215</v>
      </c>
      <c r="AP48" s="83">
        <f t="shared" si="20"/>
        <v>255886.23301140699</v>
      </c>
      <c r="AQ48" s="70">
        <f t="shared" si="21"/>
        <v>109271.60985532714</v>
      </c>
      <c r="AR48" s="70">
        <f t="shared" si="22"/>
        <v>54635.804927663572</v>
      </c>
      <c r="AS48" s="70">
        <f t="shared" si="23"/>
        <v>54635.804927663572</v>
      </c>
    </row>
    <row r="49" spans="1:45">
      <c r="A49" s="104" t="s">
        <v>835</v>
      </c>
      <c r="B49" s="31" t="s">
        <v>835</v>
      </c>
      <c r="C49" s="31" t="s">
        <v>836</v>
      </c>
      <c r="D49" s="43" t="s">
        <v>836</v>
      </c>
      <c r="E49" s="119" t="s">
        <v>2599</v>
      </c>
      <c r="F49" s="44" t="s">
        <v>2279</v>
      </c>
      <c r="G49" s="43" t="s">
        <v>300</v>
      </c>
      <c r="H49" s="43" t="str">
        <f t="shared" si="2"/>
        <v>Urban Harris</v>
      </c>
      <c r="I49" s="45">
        <f>INDEX('Fee Calc'!M:M,MATCH(C:C,'Fee Calc'!F:F,0))</f>
        <v>145268221.73090971</v>
      </c>
      <c r="J49" s="45">
        <f>INDEX('Fee Calc'!L:L,MATCH(C:C,'Fee Calc'!F:F,0))</f>
        <v>47473084.008887082</v>
      </c>
      <c r="K49" s="45">
        <f t="shared" si="3"/>
        <v>192741305.73979679</v>
      </c>
      <c r="L49" s="45">
        <v>88420921.989999995</v>
      </c>
      <c r="M49" s="45">
        <v>17273063.629999999</v>
      </c>
      <c r="N49" s="45">
        <f t="shared" si="4"/>
        <v>105693985.61999999</v>
      </c>
      <c r="O49" s="45">
        <v>221658970.35858157</v>
      </c>
      <c r="P49" s="45">
        <v>32979998.709189653</v>
      </c>
      <c r="Q49" s="45">
        <f t="shared" si="5"/>
        <v>254638969.06777123</v>
      </c>
      <c r="R49" s="45" t="str">
        <f t="shared" si="6"/>
        <v>Yes</v>
      </c>
      <c r="S49" s="46" t="str">
        <f t="shared" si="7"/>
        <v>Yes</v>
      </c>
      <c r="T49" s="47">
        <f>ROUND(INDEX(Summary!H:H,MATCH(H:H,Summary!A:A,0)),2)</f>
        <v>1.57</v>
      </c>
      <c r="U49" s="47">
        <f>ROUND(INDEX(Summary!I:I,MATCH(H:H,Summary!A:A,0)),2)</f>
        <v>0.3</v>
      </c>
      <c r="V49" s="81">
        <f t="shared" si="8"/>
        <v>228071108.11752826</v>
      </c>
      <c r="W49" s="81">
        <f t="shared" si="9"/>
        <v>14241925.202666124</v>
      </c>
      <c r="X49" s="45">
        <f t="shared" si="10"/>
        <v>242313033.32019439</v>
      </c>
      <c r="Y49" s="45" t="s">
        <v>2752</v>
      </c>
      <c r="Z49" s="45" t="str">
        <f t="shared" si="11"/>
        <v>No</v>
      </c>
      <c r="AA49" s="45" t="str">
        <f t="shared" si="12"/>
        <v>Yes</v>
      </c>
      <c r="AB49" s="45" t="str">
        <f t="shared" si="13"/>
        <v>Yes</v>
      </c>
      <c r="AC49" s="82">
        <f t="shared" si="24"/>
        <v>0</v>
      </c>
      <c r="AD49" s="82">
        <f t="shared" si="25"/>
        <v>0.27</v>
      </c>
      <c r="AE49" s="45">
        <f t="shared" si="26"/>
        <v>0</v>
      </c>
      <c r="AF49" s="45">
        <f t="shared" si="14"/>
        <v>12817732.682399513</v>
      </c>
      <c r="AG49" s="45">
        <f t="shared" si="15"/>
        <v>12817732.682399513</v>
      </c>
      <c r="AH49" s="47">
        <f>IFERROR(ROUNDDOWN(INDEX('90% of ACR'!K:K,MATCH(H:H,'90% of ACR'!A:A,0))*IF(I49&gt;0,IF(O49&gt;0,$R$4*MAX(O49-V49,0),0),0)/I49,2),0)</f>
        <v>0</v>
      </c>
      <c r="AI49" s="82">
        <f>IFERROR(ROUNDDOWN(INDEX('90% of ACR'!R:R,MATCH(H:H,'90% of ACR'!A:A,0))*IF(J49&gt;0,IF(P49&gt;0,$R$4*MAX(P49-W49,0),0),0)/J49,2),0)</f>
        <v>0.25</v>
      </c>
      <c r="AJ49" s="45">
        <f t="shared" si="16"/>
        <v>0</v>
      </c>
      <c r="AK49" s="45">
        <f t="shared" si="17"/>
        <v>11868271.002221771</v>
      </c>
      <c r="AL49" s="47">
        <f t="shared" si="18"/>
        <v>1.57</v>
      </c>
      <c r="AM49" s="47">
        <f t="shared" si="19"/>
        <v>0.55000000000000004</v>
      </c>
      <c r="AN49" s="83">
        <f>IFERROR(INDEX('Fee Calc'!P:P,MATCH(C49,'Fee Calc'!F:F,0)),0)</f>
        <v>254181304.32241616</v>
      </c>
      <c r="AO49" s="83">
        <f>IFERROR(INDEX('Fee Calc'!Q:Q,MATCH(C49,'Fee Calc'!F:F,0)),0)</f>
        <v>15629964.346518612</v>
      </c>
      <c r="AP49" s="83">
        <f t="shared" si="20"/>
        <v>269811268.66893476</v>
      </c>
      <c r="AQ49" s="70">
        <f t="shared" si="21"/>
        <v>115218045.68223256</v>
      </c>
      <c r="AR49" s="70">
        <f t="shared" si="22"/>
        <v>57609022.841116279</v>
      </c>
      <c r="AS49" s="70">
        <f t="shared" si="23"/>
        <v>57609022.841116279</v>
      </c>
    </row>
    <row r="50" spans="1:45">
      <c r="A50" s="104" t="s">
        <v>13</v>
      </c>
      <c r="B50" s="31" t="s">
        <v>13</v>
      </c>
      <c r="C50" s="31" t="s">
        <v>14</v>
      </c>
      <c r="D50" s="43" t="s">
        <v>14</v>
      </c>
      <c r="E50" s="119" t="s">
        <v>2794</v>
      </c>
      <c r="F50" s="44" t="s">
        <v>2279</v>
      </c>
      <c r="G50" s="43" t="s">
        <v>300</v>
      </c>
      <c r="H50" s="43" t="str">
        <f t="shared" si="2"/>
        <v>Urban Harris</v>
      </c>
      <c r="I50" s="45">
        <f>INDEX('Fee Calc'!M:M,MATCH(C:C,'Fee Calc'!F:F,0))</f>
        <v>64666828.864461258</v>
      </c>
      <c r="J50" s="45">
        <f>INDEX('Fee Calc'!L:L,MATCH(C:C,'Fee Calc'!F:F,0))</f>
        <v>35523041.306628935</v>
      </c>
      <c r="K50" s="45">
        <f t="shared" si="3"/>
        <v>100189870.17109019</v>
      </c>
      <c r="L50" s="45">
        <v>38320566.979999997</v>
      </c>
      <c r="M50" s="45">
        <v>11427601.41</v>
      </c>
      <c r="N50" s="45">
        <f t="shared" si="4"/>
        <v>49748168.390000001</v>
      </c>
      <c r="O50" s="45">
        <v>89723483.605964661</v>
      </c>
      <c r="P50" s="45">
        <v>19998445.432117719</v>
      </c>
      <c r="Q50" s="45">
        <f t="shared" si="5"/>
        <v>109721929.03808238</v>
      </c>
      <c r="R50" s="45" t="str">
        <f t="shared" si="6"/>
        <v>Yes</v>
      </c>
      <c r="S50" s="46" t="str">
        <f t="shared" si="7"/>
        <v>Yes</v>
      </c>
      <c r="T50" s="47">
        <f>ROUND(INDEX(Summary!H:H,MATCH(H:H,Summary!A:A,0)),2)</f>
        <v>1.57</v>
      </c>
      <c r="U50" s="47">
        <f>ROUND(INDEX(Summary!I:I,MATCH(H:H,Summary!A:A,0)),2)</f>
        <v>0.3</v>
      </c>
      <c r="V50" s="81">
        <f t="shared" si="8"/>
        <v>101526921.31720418</v>
      </c>
      <c r="W50" s="81">
        <f t="shared" si="9"/>
        <v>10656912.39198868</v>
      </c>
      <c r="X50" s="45">
        <f t="shared" si="10"/>
        <v>112183833.70919286</v>
      </c>
      <c r="Y50" s="45" t="s">
        <v>2752</v>
      </c>
      <c r="Z50" s="45" t="str">
        <f t="shared" si="11"/>
        <v>No</v>
      </c>
      <c r="AA50" s="45" t="str">
        <f t="shared" si="12"/>
        <v>Yes</v>
      </c>
      <c r="AB50" s="45" t="str">
        <f t="shared" si="13"/>
        <v>Yes</v>
      </c>
      <c r="AC50" s="82">
        <f t="shared" si="24"/>
        <v>0</v>
      </c>
      <c r="AD50" s="82">
        <f t="shared" si="25"/>
        <v>0.18</v>
      </c>
      <c r="AE50" s="45">
        <f t="shared" si="26"/>
        <v>0</v>
      </c>
      <c r="AF50" s="45">
        <f t="shared" si="14"/>
        <v>6394147.435193208</v>
      </c>
      <c r="AG50" s="45">
        <f t="shared" si="15"/>
        <v>6394147.435193208</v>
      </c>
      <c r="AH50" s="47">
        <f>IFERROR(ROUNDDOWN(INDEX('90% of ACR'!K:K,MATCH(H:H,'90% of ACR'!A:A,0))*IF(I50&gt;0,IF(O50&gt;0,$R$4*MAX(O50-V50,0),0),0)/I50,2),0)</f>
        <v>0</v>
      </c>
      <c r="AI50" s="82">
        <f>IFERROR(ROUNDDOWN(INDEX('90% of ACR'!R:R,MATCH(H:H,'90% of ACR'!A:A,0))*IF(J50&gt;0,IF(P50&gt;0,$R$4*MAX(P50-W50,0),0),0)/J50,2),0)</f>
        <v>0.17</v>
      </c>
      <c r="AJ50" s="45">
        <f t="shared" si="16"/>
        <v>0</v>
      </c>
      <c r="AK50" s="45">
        <f t="shared" si="17"/>
        <v>6038917.0221269196</v>
      </c>
      <c r="AL50" s="47">
        <f t="shared" si="18"/>
        <v>1.57</v>
      </c>
      <c r="AM50" s="47">
        <f t="shared" si="19"/>
        <v>0.47</v>
      </c>
      <c r="AN50" s="83">
        <f>IFERROR(INDEX('Fee Calc'!P:P,MATCH(C50,'Fee Calc'!F:F,0)),0)</f>
        <v>118222750.73131977</v>
      </c>
      <c r="AO50" s="83">
        <f>IFERROR(INDEX('Fee Calc'!Q:Q,MATCH(C50,'Fee Calc'!F:F,0)),0)</f>
        <v>7343469.4389367979</v>
      </c>
      <c r="AP50" s="83">
        <f t="shared" si="20"/>
        <v>125566220.17025657</v>
      </c>
      <c r="AQ50" s="70">
        <f t="shared" si="21"/>
        <v>53620794.131745003</v>
      </c>
      <c r="AR50" s="70">
        <f t="shared" si="22"/>
        <v>26810397.065872502</v>
      </c>
      <c r="AS50" s="70">
        <f t="shared" si="23"/>
        <v>26810397.065872502</v>
      </c>
    </row>
    <row r="51" spans="1:45">
      <c r="A51" s="104" t="s">
        <v>838</v>
      </c>
      <c r="B51" s="31" t="s">
        <v>838</v>
      </c>
      <c r="C51" s="31" t="s">
        <v>839</v>
      </c>
      <c r="D51" s="43" t="s">
        <v>839</v>
      </c>
      <c r="E51" s="119" t="s">
        <v>2795</v>
      </c>
      <c r="F51" s="44" t="s">
        <v>2279</v>
      </c>
      <c r="G51" s="43" t="s">
        <v>300</v>
      </c>
      <c r="H51" s="43" t="str">
        <f t="shared" si="2"/>
        <v>Urban Harris</v>
      </c>
      <c r="I51" s="45">
        <f>INDEX('Fee Calc'!M:M,MATCH(C:C,'Fee Calc'!F:F,0))</f>
        <v>11011185.843644045</v>
      </c>
      <c r="J51" s="45">
        <f>INDEX('Fee Calc'!L:L,MATCH(C:C,'Fee Calc'!F:F,0))</f>
        <v>7423009.1514033098</v>
      </c>
      <c r="K51" s="45">
        <f t="shared" si="3"/>
        <v>18434194.995047353</v>
      </c>
      <c r="L51" s="45">
        <v>8629614.5199999996</v>
      </c>
      <c r="M51" s="45">
        <v>2533934.2599999998</v>
      </c>
      <c r="N51" s="45">
        <f t="shared" si="4"/>
        <v>11163548.779999999</v>
      </c>
      <c r="O51" s="45">
        <v>21441994.587682977</v>
      </c>
      <c r="P51" s="45">
        <v>4222064.5820884677</v>
      </c>
      <c r="Q51" s="45">
        <f t="shared" si="5"/>
        <v>25664059.169771444</v>
      </c>
      <c r="R51" s="45" t="str">
        <f t="shared" si="6"/>
        <v>Yes</v>
      </c>
      <c r="S51" s="46" t="str">
        <f t="shared" si="7"/>
        <v>Yes</v>
      </c>
      <c r="T51" s="47">
        <f>ROUND(INDEX(Summary!H:H,MATCH(H:H,Summary!A:A,0)),2)</f>
        <v>1.57</v>
      </c>
      <c r="U51" s="47">
        <f>ROUND(INDEX(Summary!I:I,MATCH(H:H,Summary!A:A,0)),2)</f>
        <v>0.3</v>
      </c>
      <c r="V51" s="81">
        <f t="shared" si="8"/>
        <v>17287561.774521153</v>
      </c>
      <c r="W51" s="81">
        <f t="shared" si="9"/>
        <v>2226902.7454209928</v>
      </c>
      <c r="X51" s="45">
        <f t="shared" si="10"/>
        <v>19514464.519942146</v>
      </c>
      <c r="Y51" s="45" t="s">
        <v>2752</v>
      </c>
      <c r="Z51" s="45" t="str">
        <f t="shared" si="11"/>
        <v>No</v>
      </c>
      <c r="AA51" s="45" t="str">
        <f t="shared" si="12"/>
        <v>Yes</v>
      </c>
      <c r="AB51" s="45" t="str">
        <f t="shared" si="13"/>
        <v>Yes</v>
      </c>
      <c r="AC51" s="82">
        <f t="shared" si="24"/>
        <v>0.26</v>
      </c>
      <c r="AD51" s="82">
        <f t="shared" si="25"/>
        <v>0.19</v>
      </c>
      <c r="AE51" s="45">
        <f t="shared" si="26"/>
        <v>2862908.3193474519</v>
      </c>
      <c r="AF51" s="45">
        <f t="shared" si="14"/>
        <v>1410371.7387666288</v>
      </c>
      <c r="AG51" s="45">
        <f t="shared" si="15"/>
        <v>4273280.0581140807</v>
      </c>
      <c r="AH51" s="47">
        <f>IFERROR(ROUNDDOWN(INDEX('90% of ACR'!K:K,MATCH(H:H,'90% of ACR'!A:A,0))*IF(I51&gt;0,IF(O51&gt;0,$R$4*MAX(O51-V51,0),0),0)/I51,2),0)</f>
        <v>0</v>
      </c>
      <c r="AI51" s="82">
        <f>IFERROR(ROUNDDOWN(INDEX('90% of ACR'!R:R,MATCH(H:H,'90% of ACR'!A:A,0))*IF(J51&gt;0,IF(P51&gt;0,$R$4*MAX(P51-W51,0),0),0)/J51,2),0)</f>
        <v>0.17</v>
      </c>
      <c r="AJ51" s="45">
        <f t="shared" si="16"/>
        <v>0</v>
      </c>
      <c r="AK51" s="45">
        <f t="shared" si="17"/>
        <v>1261911.5557385627</v>
      </c>
      <c r="AL51" s="47">
        <f t="shared" si="18"/>
        <v>1.57</v>
      </c>
      <c r="AM51" s="47">
        <f t="shared" si="19"/>
        <v>0.47</v>
      </c>
      <c r="AN51" s="83">
        <f>IFERROR(INDEX('Fee Calc'!P:P,MATCH(C51,'Fee Calc'!F:F,0)),0)</f>
        <v>20776376.07568071</v>
      </c>
      <c r="AO51" s="83">
        <f>IFERROR(INDEX('Fee Calc'!Q:Q,MATCH(C51,'Fee Calc'!F:F,0)),0)</f>
        <v>1287475.3598685975</v>
      </c>
      <c r="AP51" s="83">
        <f t="shared" si="20"/>
        <v>22063851.435549308</v>
      </c>
      <c r="AQ51" s="70">
        <f t="shared" si="21"/>
        <v>9421970.6062254924</v>
      </c>
      <c r="AR51" s="70">
        <f t="shared" si="22"/>
        <v>4710985.3031127462</v>
      </c>
      <c r="AS51" s="70">
        <f t="shared" si="23"/>
        <v>4710985.3031127462</v>
      </c>
    </row>
    <row r="52" spans="1:45">
      <c r="A52" s="104" t="s">
        <v>246</v>
      </c>
      <c r="B52" s="31" t="s">
        <v>246</v>
      </c>
      <c r="C52" s="31" t="s">
        <v>247</v>
      </c>
      <c r="D52" s="43" t="s">
        <v>247</v>
      </c>
      <c r="E52" s="119" t="s">
        <v>2796</v>
      </c>
      <c r="F52" s="44" t="s">
        <v>2279</v>
      </c>
      <c r="G52" s="43" t="s">
        <v>300</v>
      </c>
      <c r="H52" s="43" t="str">
        <f t="shared" si="2"/>
        <v>Urban Harris</v>
      </c>
      <c r="I52" s="45">
        <f>INDEX('Fee Calc'!M:M,MATCH(C:C,'Fee Calc'!F:F,0))</f>
        <v>6492589.1099484619</v>
      </c>
      <c r="J52" s="45">
        <f>INDEX('Fee Calc'!L:L,MATCH(C:C,'Fee Calc'!F:F,0))</f>
        <v>6584506.9264974976</v>
      </c>
      <c r="K52" s="45">
        <f t="shared" si="3"/>
        <v>13077096.03644596</v>
      </c>
      <c r="L52" s="45">
        <v>5166449.8099999996</v>
      </c>
      <c r="M52" s="45">
        <v>1754517.53</v>
      </c>
      <c r="N52" s="45">
        <f t="shared" si="4"/>
        <v>6920967.3399999999</v>
      </c>
      <c r="O52" s="45">
        <v>10042852.962052241</v>
      </c>
      <c r="P52" s="45">
        <v>3417415.8123975527</v>
      </c>
      <c r="Q52" s="45">
        <f t="shared" si="5"/>
        <v>13460268.774449794</v>
      </c>
      <c r="R52" s="45" t="str">
        <f t="shared" si="6"/>
        <v>Yes</v>
      </c>
      <c r="S52" s="46" t="str">
        <f t="shared" si="7"/>
        <v>Yes</v>
      </c>
      <c r="T52" s="47">
        <f>ROUND(INDEX(Summary!H:H,MATCH(H:H,Summary!A:A,0)),2)</f>
        <v>1.57</v>
      </c>
      <c r="U52" s="47">
        <f>ROUND(INDEX(Summary!I:I,MATCH(H:H,Summary!A:A,0)),2)</f>
        <v>0.3</v>
      </c>
      <c r="V52" s="81">
        <f t="shared" si="8"/>
        <v>10193364.902619086</v>
      </c>
      <c r="W52" s="81">
        <f t="shared" si="9"/>
        <v>1975352.0779492492</v>
      </c>
      <c r="X52" s="45">
        <f t="shared" si="10"/>
        <v>12168716.980568334</v>
      </c>
      <c r="Y52" s="45" t="s">
        <v>2752</v>
      </c>
      <c r="Z52" s="45" t="str">
        <f t="shared" si="11"/>
        <v>No</v>
      </c>
      <c r="AA52" s="45" t="str">
        <f t="shared" si="12"/>
        <v>Yes</v>
      </c>
      <c r="AB52" s="45" t="str">
        <f t="shared" si="13"/>
        <v>Yes</v>
      </c>
      <c r="AC52" s="82">
        <f t="shared" si="24"/>
        <v>0</v>
      </c>
      <c r="AD52" s="82">
        <f t="shared" si="25"/>
        <v>0.15</v>
      </c>
      <c r="AE52" s="45">
        <f t="shared" si="26"/>
        <v>0</v>
      </c>
      <c r="AF52" s="45">
        <f t="shared" si="14"/>
        <v>987676.03897462459</v>
      </c>
      <c r="AG52" s="45">
        <f t="shared" si="15"/>
        <v>987676.03897462459</v>
      </c>
      <c r="AH52" s="47">
        <f>IFERROR(ROUNDDOWN(INDEX('90% of ACR'!K:K,MATCH(H:H,'90% of ACR'!A:A,0))*IF(I52&gt;0,IF(O52&gt;0,$R$4*MAX(O52-V52,0),0),0)/I52,2),0)</f>
        <v>0</v>
      </c>
      <c r="AI52" s="82">
        <f>IFERROR(ROUNDDOWN(INDEX('90% of ACR'!R:R,MATCH(H:H,'90% of ACR'!A:A,0))*IF(J52&gt;0,IF(P52&gt;0,$R$4*MAX(P52-W52,0),0),0)/J52,2),0)</f>
        <v>0.14000000000000001</v>
      </c>
      <c r="AJ52" s="45">
        <f t="shared" si="16"/>
        <v>0</v>
      </c>
      <c r="AK52" s="45">
        <f t="shared" si="17"/>
        <v>921830.9697096498</v>
      </c>
      <c r="AL52" s="47">
        <f t="shared" si="18"/>
        <v>1.57</v>
      </c>
      <c r="AM52" s="47">
        <f t="shared" si="19"/>
        <v>0.44</v>
      </c>
      <c r="AN52" s="83">
        <f>IFERROR(INDEX('Fee Calc'!P:P,MATCH(C52,'Fee Calc'!F:F,0)),0)</f>
        <v>13090547.950277984</v>
      </c>
      <c r="AO52" s="83">
        <f>IFERROR(INDEX('Fee Calc'!Q:Q,MATCH(C52,'Fee Calc'!F:F,0)),0)</f>
        <v>805634.97655593057</v>
      </c>
      <c r="AP52" s="83">
        <f t="shared" si="20"/>
        <v>13896182.926833915</v>
      </c>
      <c r="AQ52" s="70">
        <f t="shared" si="21"/>
        <v>5934114.7876117406</v>
      </c>
      <c r="AR52" s="70">
        <f t="shared" si="22"/>
        <v>2967057.3938058703</v>
      </c>
      <c r="AS52" s="70">
        <f t="shared" si="23"/>
        <v>2967057.3938058703</v>
      </c>
    </row>
    <row r="53" spans="1:45">
      <c r="A53" s="104" t="s">
        <v>240</v>
      </c>
      <c r="B53" s="31" t="s">
        <v>240</v>
      </c>
      <c r="C53" s="31" t="s">
        <v>241</v>
      </c>
      <c r="D53" s="43" t="s">
        <v>241</v>
      </c>
      <c r="E53" s="119" t="s">
        <v>2797</v>
      </c>
      <c r="F53" s="44" t="s">
        <v>2279</v>
      </c>
      <c r="G53" s="43" t="s">
        <v>300</v>
      </c>
      <c r="H53" s="43" t="str">
        <f t="shared" si="2"/>
        <v>Urban Harris</v>
      </c>
      <c r="I53" s="45">
        <f>INDEX('Fee Calc'!M:M,MATCH(C:C,'Fee Calc'!F:F,0))</f>
        <v>4160543.2588946857</v>
      </c>
      <c r="J53" s="45">
        <f>INDEX('Fee Calc'!L:L,MATCH(C:C,'Fee Calc'!F:F,0))</f>
        <v>4422156.537042236</v>
      </c>
      <c r="K53" s="45">
        <f t="shared" si="3"/>
        <v>8582699.7959369216</v>
      </c>
      <c r="L53" s="45">
        <v>3875903.88</v>
      </c>
      <c r="M53" s="45">
        <v>1232599.48</v>
      </c>
      <c r="N53" s="45">
        <f t="shared" si="4"/>
        <v>5108503.3599999994</v>
      </c>
      <c r="O53" s="45">
        <v>8439220.4983919077</v>
      </c>
      <c r="P53" s="45">
        <v>2936754.0233350825</v>
      </c>
      <c r="Q53" s="45">
        <f t="shared" si="5"/>
        <v>11375974.52172699</v>
      </c>
      <c r="R53" s="45" t="str">
        <f t="shared" si="6"/>
        <v>Yes</v>
      </c>
      <c r="S53" s="46" t="str">
        <f t="shared" si="7"/>
        <v>Yes</v>
      </c>
      <c r="T53" s="47">
        <f>ROUND(INDEX(Summary!H:H,MATCH(H:H,Summary!A:A,0)),2)</f>
        <v>1.57</v>
      </c>
      <c r="U53" s="47">
        <f>ROUND(INDEX(Summary!I:I,MATCH(H:H,Summary!A:A,0)),2)</f>
        <v>0.3</v>
      </c>
      <c r="V53" s="81">
        <f t="shared" si="8"/>
        <v>6532052.9164646566</v>
      </c>
      <c r="W53" s="81">
        <f t="shared" si="9"/>
        <v>1326646.9611126708</v>
      </c>
      <c r="X53" s="45">
        <f t="shared" si="10"/>
        <v>7858699.8775773272</v>
      </c>
      <c r="Y53" s="45" t="s">
        <v>2752</v>
      </c>
      <c r="Z53" s="45" t="str">
        <f t="shared" si="11"/>
        <v>No</v>
      </c>
      <c r="AA53" s="45" t="str">
        <f t="shared" si="12"/>
        <v>Yes</v>
      </c>
      <c r="AB53" s="45" t="str">
        <f t="shared" si="13"/>
        <v>Yes</v>
      </c>
      <c r="AC53" s="82">
        <f t="shared" si="24"/>
        <v>0.32</v>
      </c>
      <c r="AD53" s="82">
        <f t="shared" si="25"/>
        <v>0.25</v>
      </c>
      <c r="AE53" s="45">
        <f t="shared" si="26"/>
        <v>1331373.8428462995</v>
      </c>
      <c r="AF53" s="45">
        <f t="shared" si="14"/>
        <v>1105539.134260559</v>
      </c>
      <c r="AG53" s="45">
        <f t="shared" si="15"/>
        <v>2436912.9771068585</v>
      </c>
      <c r="AH53" s="47">
        <f>IFERROR(ROUNDDOWN(INDEX('90% of ACR'!K:K,MATCH(H:H,'90% of ACR'!A:A,0))*IF(I53&gt;0,IF(O53&gt;0,$R$4*MAX(O53-V53,0),0),0)/I53,2),0)</f>
        <v>0</v>
      </c>
      <c r="AI53" s="82">
        <f>IFERROR(ROUNDDOWN(INDEX('90% of ACR'!R:R,MATCH(H:H,'90% of ACR'!A:A,0))*IF(J53&gt;0,IF(P53&gt;0,$R$4*MAX(P53-W53,0),0),0)/J53,2),0)</f>
        <v>0.23</v>
      </c>
      <c r="AJ53" s="45">
        <f t="shared" si="16"/>
        <v>0</v>
      </c>
      <c r="AK53" s="45">
        <f t="shared" si="17"/>
        <v>1017096.0035197143</v>
      </c>
      <c r="AL53" s="47">
        <f t="shared" si="18"/>
        <v>1.57</v>
      </c>
      <c r="AM53" s="47">
        <f t="shared" si="19"/>
        <v>0.53</v>
      </c>
      <c r="AN53" s="83">
        <f>IFERROR(INDEX('Fee Calc'!P:P,MATCH(C53,'Fee Calc'!F:F,0)),0)</f>
        <v>8875795.8810970411</v>
      </c>
      <c r="AO53" s="83">
        <f>IFERROR(INDEX('Fee Calc'!Q:Q,MATCH(C53,'Fee Calc'!F:F,0)),0)</f>
        <v>552285.09153280826</v>
      </c>
      <c r="AP53" s="83">
        <f t="shared" si="20"/>
        <v>9428080.9726298489</v>
      </c>
      <c r="AQ53" s="70">
        <f t="shared" si="21"/>
        <v>4026092.2739040693</v>
      </c>
      <c r="AR53" s="70">
        <f t="shared" si="22"/>
        <v>2013046.1369520347</v>
      </c>
      <c r="AS53" s="70">
        <f t="shared" si="23"/>
        <v>2013046.1369520347</v>
      </c>
    </row>
    <row r="54" spans="1:45">
      <c r="A54" s="104" t="s">
        <v>243</v>
      </c>
      <c r="B54" s="124" t="s">
        <v>243</v>
      </c>
      <c r="C54" s="31" t="s">
        <v>244</v>
      </c>
      <c r="D54" s="125" t="s">
        <v>244</v>
      </c>
      <c r="E54" s="119" t="s">
        <v>2798</v>
      </c>
      <c r="F54" s="100" t="s">
        <v>2279</v>
      </c>
      <c r="G54" s="100" t="s">
        <v>300</v>
      </c>
      <c r="H54" s="43" t="str">
        <f t="shared" si="2"/>
        <v>Urban Harris</v>
      </c>
      <c r="I54" s="45">
        <f>INDEX('Fee Calc'!M:M,MATCH(C:C,'Fee Calc'!F:F,0))</f>
        <v>10224869.407671301</v>
      </c>
      <c r="J54" s="45">
        <f>INDEX('Fee Calc'!L:L,MATCH(C:C,'Fee Calc'!F:F,0))</f>
        <v>8714840.2348963171</v>
      </c>
      <c r="K54" s="45">
        <f t="shared" si="3"/>
        <v>18939709.64256762</v>
      </c>
      <c r="L54" s="45">
        <v>9294345.9499999993</v>
      </c>
      <c r="M54" s="45">
        <v>4034593.32</v>
      </c>
      <c r="N54" s="45">
        <f t="shared" si="4"/>
        <v>13328939.27</v>
      </c>
      <c r="O54" s="45">
        <v>17604841.557998933</v>
      </c>
      <c r="P54" s="45">
        <v>8217399.4302990884</v>
      </c>
      <c r="Q54" s="45">
        <f t="shared" si="5"/>
        <v>25822240.988298021</v>
      </c>
      <c r="R54" s="45" t="str">
        <f t="shared" si="6"/>
        <v>Yes</v>
      </c>
      <c r="S54" s="46" t="str">
        <f t="shared" si="7"/>
        <v>Yes</v>
      </c>
      <c r="T54" s="47">
        <f>ROUND(INDEX(Summary!H:H,MATCH(H:H,Summary!A:A,0)),2)</f>
        <v>1.57</v>
      </c>
      <c r="U54" s="47">
        <f>ROUND(INDEX(Summary!I:I,MATCH(H:H,Summary!A:A,0)),2)</f>
        <v>0.3</v>
      </c>
      <c r="V54" s="81">
        <f t="shared" si="8"/>
        <v>16053044.970043942</v>
      </c>
      <c r="W54" s="81">
        <f t="shared" si="9"/>
        <v>2614452.0704688951</v>
      </c>
      <c r="X54" s="45">
        <f t="shared" si="10"/>
        <v>18667497.040512837</v>
      </c>
      <c r="Y54" s="45" t="s">
        <v>2752</v>
      </c>
      <c r="Z54" s="45" t="str">
        <f t="shared" si="11"/>
        <v>No</v>
      </c>
      <c r="AA54" s="45" t="str">
        <f t="shared" si="12"/>
        <v>Yes</v>
      </c>
      <c r="AB54" s="45" t="str">
        <f t="shared" si="13"/>
        <v>Yes</v>
      </c>
      <c r="AC54" s="82">
        <f t="shared" si="24"/>
        <v>0.11</v>
      </c>
      <c r="AD54" s="82">
        <f t="shared" si="25"/>
        <v>0.45</v>
      </c>
      <c r="AE54" s="45">
        <f t="shared" si="26"/>
        <v>1124735.6348438431</v>
      </c>
      <c r="AF54" s="45">
        <f t="shared" si="14"/>
        <v>3921678.1057033427</v>
      </c>
      <c r="AG54" s="45">
        <f t="shared" si="15"/>
        <v>5046413.7405471858</v>
      </c>
      <c r="AH54" s="47">
        <f>IFERROR(ROUNDDOWN(INDEX('90% of ACR'!K:K,MATCH(H:H,'90% of ACR'!A:A,0))*IF(I54&gt;0,IF(O54&gt;0,$R$4*MAX(O54-V54,0),0),0)/I54,2),0)</f>
        <v>0</v>
      </c>
      <c r="AI54" s="82">
        <f>IFERROR(ROUNDDOWN(INDEX('90% of ACR'!R:R,MATCH(H:H,'90% of ACR'!A:A,0))*IF(J54&gt;0,IF(P54&gt;0,$R$4*MAX(P54-W54,0),0),0)/J54,2),0)</f>
        <v>0.41</v>
      </c>
      <c r="AJ54" s="45">
        <f t="shared" si="16"/>
        <v>0</v>
      </c>
      <c r="AK54" s="45">
        <f t="shared" si="17"/>
        <v>3573084.4963074899</v>
      </c>
      <c r="AL54" s="47">
        <f t="shared" si="18"/>
        <v>1.57</v>
      </c>
      <c r="AM54" s="47">
        <f t="shared" si="19"/>
        <v>0.71</v>
      </c>
      <c r="AN54" s="83">
        <f>IFERROR(INDEX('Fee Calc'!P:P,MATCH(C54,'Fee Calc'!F:F,0)),0)</f>
        <v>22240581.536820326</v>
      </c>
      <c r="AO54" s="83">
        <f>IFERROR(INDEX('Fee Calc'!Q:Q,MATCH(C54,'Fee Calc'!F:F,0)),0)</f>
        <v>1384887.9917864413</v>
      </c>
      <c r="AP54" s="83">
        <f t="shared" si="20"/>
        <v>23625469.528606769</v>
      </c>
      <c r="AQ54" s="70">
        <f t="shared" si="21"/>
        <v>10088831.503740005</v>
      </c>
      <c r="AR54" s="70">
        <f t="shared" si="22"/>
        <v>5044415.7518700026</v>
      </c>
      <c r="AS54" s="70">
        <f t="shared" si="23"/>
        <v>5044415.7518700026</v>
      </c>
    </row>
    <row r="55" spans="1:45">
      <c r="A55" s="104" t="s">
        <v>1662</v>
      </c>
      <c r="B55" s="124" t="s">
        <v>1662</v>
      </c>
      <c r="C55" s="31" t="s">
        <v>1663</v>
      </c>
      <c r="D55" s="125" t="s">
        <v>1663</v>
      </c>
      <c r="E55" s="119" t="s">
        <v>2799</v>
      </c>
      <c r="F55" s="100" t="s">
        <v>2279</v>
      </c>
      <c r="G55" s="100" t="s">
        <v>300</v>
      </c>
      <c r="H55" s="43" t="str">
        <f t="shared" si="2"/>
        <v>Urban Harris</v>
      </c>
      <c r="I55" s="45">
        <f>INDEX('Fee Calc'!M:M,MATCH(C:C,'Fee Calc'!F:F,0))</f>
        <v>157236.20713075128</v>
      </c>
      <c r="J55" s="45">
        <f>INDEX('Fee Calc'!L:L,MATCH(C:C,'Fee Calc'!F:F,0))</f>
        <v>1346665.692087516</v>
      </c>
      <c r="K55" s="45">
        <f t="shared" si="3"/>
        <v>1503901.8992182673</v>
      </c>
      <c r="L55" s="45">
        <v>278004.63</v>
      </c>
      <c r="M55" s="45">
        <v>0</v>
      </c>
      <c r="N55" s="45">
        <f t="shared" si="4"/>
        <v>278004.63</v>
      </c>
      <c r="O55" s="45">
        <v>587108.1429322093</v>
      </c>
      <c r="P55" s="45">
        <v>0</v>
      </c>
      <c r="Q55" s="45">
        <f t="shared" si="5"/>
        <v>587108.1429322093</v>
      </c>
      <c r="R55" s="45" t="str">
        <f t="shared" si="6"/>
        <v>Yes</v>
      </c>
      <c r="S55" s="46" t="str">
        <f t="shared" si="7"/>
        <v>No</v>
      </c>
      <c r="T55" s="47">
        <f>ROUND(INDEX(Summary!H:H,MATCH(H:H,Summary!A:A,0)),2)</f>
        <v>1.57</v>
      </c>
      <c r="U55" s="47">
        <f>ROUND(INDEX(Summary!I:I,MATCH(H:H,Summary!A:A,0)),2)</f>
        <v>0.3</v>
      </c>
      <c r="V55" s="81">
        <f t="shared" si="8"/>
        <v>246860.84519527951</v>
      </c>
      <c r="W55" s="81">
        <f t="shared" si="9"/>
        <v>403999.70762625476</v>
      </c>
      <c r="X55" s="45">
        <f t="shared" si="10"/>
        <v>650860.55282153422</v>
      </c>
      <c r="Y55" s="45" t="s">
        <v>2752</v>
      </c>
      <c r="Z55" s="45" t="str">
        <f t="shared" si="11"/>
        <v>No</v>
      </c>
      <c r="AA55" s="45" t="str">
        <f t="shared" si="12"/>
        <v>No</v>
      </c>
      <c r="AB55" s="45" t="str">
        <f t="shared" si="13"/>
        <v>Yes</v>
      </c>
      <c r="AC55" s="82">
        <f t="shared" si="24"/>
        <v>1.51</v>
      </c>
      <c r="AD55" s="82">
        <f t="shared" si="25"/>
        <v>0</v>
      </c>
      <c r="AE55" s="45">
        <f t="shared" si="26"/>
        <v>237426.67276743444</v>
      </c>
      <c r="AF55" s="45">
        <f t="shared" si="14"/>
        <v>0</v>
      </c>
      <c r="AG55" s="45">
        <f t="shared" si="15"/>
        <v>237426.67276743444</v>
      </c>
      <c r="AH55" s="47">
        <f>IFERROR(ROUNDDOWN(INDEX('90% of ACR'!K:K,MATCH(H:H,'90% of ACR'!A:A,0))*IF(I55&gt;0,IF(O55&gt;0,$R$4*MAX(O55-V55,0),0),0)/I55,2),0)</f>
        <v>0</v>
      </c>
      <c r="AI55" s="82">
        <f>IFERROR(ROUNDDOWN(INDEX('90% of ACR'!R:R,MATCH(H:H,'90% of ACR'!A:A,0))*IF(J55&gt;0,IF(P55&gt;0,$R$4*MAX(P55-W55,0),0),0)/J55,2),0)</f>
        <v>0</v>
      </c>
      <c r="AJ55" s="45">
        <f t="shared" si="16"/>
        <v>0</v>
      </c>
      <c r="AK55" s="45">
        <f t="shared" si="17"/>
        <v>0</v>
      </c>
      <c r="AL55" s="47">
        <f t="shared" si="18"/>
        <v>1.57</v>
      </c>
      <c r="AM55" s="47">
        <f t="shared" si="19"/>
        <v>0.3</v>
      </c>
      <c r="AN55" s="83">
        <f>IFERROR(INDEX('Fee Calc'!P:P,MATCH(C55,'Fee Calc'!F:F,0)),0)</f>
        <v>650860.55282153422</v>
      </c>
      <c r="AO55" s="83">
        <f>IFERROR(INDEX('Fee Calc'!Q:Q,MATCH(C55,'Fee Calc'!F:F,0)),0)</f>
        <v>40797.579513609213</v>
      </c>
      <c r="AP55" s="83">
        <f t="shared" si="20"/>
        <v>691658.1323351434</v>
      </c>
      <c r="AQ55" s="70">
        <f t="shared" si="21"/>
        <v>295360.15556734096</v>
      </c>
      <c r="AR55" s="70">
        <f t="shared" si="22"/>
        <v>147680.07778367048</v>
      </c>
      <c r="AS55" s="70">
        <f t="shared" si="23"/>
        <v>147680.07778367048</v>
      </c>
    </row>
    <row r="56" spans="1:45">
      <c r="A56" s="104" t="s">
        <v>1474</v>
      </c>
      <c r="B56" s="124" t="s">
        <v>2602</v>
      </c>
      <c r="C56" s="31" t="s">
        <v>1475</v>
      </c>
      <c r="D56" s="125" t="s">
        <v>1475</v>
      </c>
      <c r="E56" s="119" t="s">
        <v>2800</v>
      </c>
      <c r="F56" s="100" t="s">
        <v>2279</v>
      </c>
      <c r="G56" s="100" t="s">
        <v>300</v>
      </c>
      <c r="H56" s="43" t="str">
        <f t="shared" si="2"/>
        <v>Urban Harris</v>
      </c>
      <c r="I56" s="45">
        <f>INDEX('Fee Calc'!M:M,MATCH(C:C,'Fee Calc'!F:F,0))</f>
        <v>0</v>
      </c>
      <c r="J56" s="45">
        <f>INDEX('Fee Calc'!L:L,MATCH(C:C,'Fee Calc'!F:F,0))</f>
        <v>583720.36311434128</v>
      </c>
      <c r="K56" s="45">
        <f t="shared" si="3"/>
        <v>583720.36311434128</v>
      </c>
      <c r="L56" s="45">
        <v>0</v>
      </c>
      <c r="M56" s="45">
        <v>0</v>
      </c>
      <c r="N56" s="45">
        <f t="shared" si="4"/>
        <v>0</v>
      </c>
      <c r="O56" s="45">
        <v>0</v>
      </c>
      <c r="P56" s="45">
        <v>0</v>
      </c>
      <c r="Q56" s="45">
        <f t="shared" si="5"/>
        <v>0</v>
      </c>
      <c r="R56" s="45" t="str">
        <f t="shared" si="6"/>
        <v>No</v>
      </c>
      <c r="S56" s="46" t="str">
        <f t="shared" si="7"/>
        <v>No</v>
      </c>
      <c r="T56" s="47">
        <f>ROUND(INDEX(Summary!H:H,MATCH(H:H,Summary!A:A,0)),2)</f>
        <v>1.57</v>
      </c>
      <c r="U56" s="47">
        <f>ROUND(INDEX(Summary!I:I,MATCH(H:H,Summary!A:A,0)),2)</f>
        <v>0.3</v>
      </c>
      <c r="V56" s="81">
        <f t="shared" si="8"/>
        <v>0</v>
      </c>
      <c r="W56" s="81">
        <f t="shared" si="9"/>
        <v>175116.10893430238</v>
      </c>
      <c r="X56" s="45">
        <f t="shared" si="10"/>
        <v>175116.10893430238</v>
      </c>
      <c r="Y56" s="45" t="s">
        <v>2752</v>
      </c>
      <c r="Z56" s="45" t="str">
        <f t="shared" si="11"/>
        <v>No</v>
      </c>
      <c r="AA56" s="45" t="str">
        <f t="shared" si="12"/>
        <v>No</v>
      </c>
      <c r="AB56" s="45" t="str">
        <f t="shared" si="13"/>
        <v>No</v>
      </c>
      <c r="AC56" s="82">
        <f t="shared" si="24"/>
        <v>0</v>
      </c>
      <c r="AD56" s="82">
        <f t="shared" si="25"/>
        <v>0</v>
      </c>
      <c r="AE56" s="45">
        <f t="shared" si="26"/>
        <v>0</v>
      </c>
      <c r="AF56" s="45">
        <f t="shared" si="14"/>
        <v>0</v>
      </c>
      <c r="AG56" s="45">
        <f t="shared" si="15"/>
        <v>0</v>
      </c>
      <c r="AH56" s="47">
        <f>IFERROR(ROUNDDOWN(INDEX('90% of ACR'!K:K,MATCH(H:H,'90% of ACR'!A:A,0))*IF(I56&gt;0,IF(O56&gt;0,$R$4*MAX(O56-V56,0),0),0)/I56,2),0)</f>
        <v>0</v>
      </c>
      <c r="AI56" s="82">
        <f>IFERROR(ROUNDDOWN(INDEX('90% of ACR'!R:R,MATCH(H:H,'90% of ACR'!A:A,0))*IF(J56&gt;0,IF(P56&gt;0,$R$4*MAX(P56-W56,0),0),0)/J56,2),0)</f>
        <v>0</v>
      </c>
      <c r="AJ56" s="45">
        <f t="shared" si="16"/>
        <v>0</v>
      </c>
      <c r="AK56" s="45">
        <f t="shared" si="17"/>
        <v>0</v>
      </c>
      <c r="AL56" s="47">
        <f t="shared" si="18"/>
        <v>1.57</v>
      </c>
      <c r="AM56" s="47">
        <f t="shared" si="19"/>
        <v>0.3</v>
      </c>
      <c r="AN56" s="83">
        <f>IFERROR(INDEX('Fee Calc'!P:P,MATCH(C56,'Fee Calc'!F:F,0)),0)</f>
        <v>175116.10893430238</v>
      </c>
      <c r="AO56" s="83">
        <f>IFERROR(INDEX('Fee Calc'!Q:Q,MATCH(C56,'Fee Calc'!F:F,0)),0)</f>
        <v>10808.810865139771</v>
      </c>
      <c r="AP56" s="83">
        <f t="shared" si="20"/>
        <v>185924.91979944214</v>
      </c>
      <c r="AQ56" s="70">
        <f t="shared" si="21"/>
        <v>79395.890351795388</v>
      </c>
      <c r="AR56" s="70">
        <f t="shared" si="22"/>
        <v>39697.945175897694</v>
      </c>
      <c r="AS56" s="70">
        <f t="shared" si="23"/>
        <v>39697.945175897694</v>
      </c>
    </row>
    <row r="57" spans="1:45">
      <c r="A57" s="104" t="s">
        <v>155</v>
      </c>
      <c r="B57" s="124" t="s">
        <v>155</v>
      </c>
      <c r="C57" s="31" t="s">
        <v>156</v>
      </c>
      <c r="D57" s="125" t="s">
        <v>156</v>
      </c>
      <c r="E57" s="119" t="s">
        <v>2801</v>
      </c>
      <c r="F57" s="100" t="s">
        <v>2291</v>
      </c>
      <c r="G57" s="100" t="s">
        <v>227</v>
      </c>
      <c r="H57" s="43" t="str">
        <f t="shared" si="2"/>
        <v>Rural MRSA West</v>
      </c>
      <c r="I57" s="45">
        <f>INDEX('Fee Calc'!M:M,MATCH(C:C,'Fee Calc'!F:F,0))</f>
        <v>148366.41174576091</v>
      </c>
      <c r="J57" s="45">
        <f>INDEX('Fee Calc'!L:L,MATCH(C:C,'Fee Calc'!F:F,0))</f>
        <v>809211.17747885606</v>
      </c>
      <c r="K57" s="45">
        <f t="shared" si="3"/>
        <v>957577.589224617</v>
      </c>
      <c r="L57" s="45">
        <v>-5868.22</v>
      </c>
      <c r="M57" s="45">
        <v>270460.82</v>
      </c>
      <c r="N57" s="45">
        <f t="shared" si="4"/>
        <v>264592.60000000003</v>
      </c>
      <c r="O57" s="45">
        <v>-10747.709202414437</v>
      </c>
      <c r="P57" s="45">
        <v>348261.54559588461</v>
      </c>
      <c r="Q57" s="45">
        <f t="shared" si="5"/>
        <v>337513.83639347018</v>
      </c>
      <c r="R57" s="45" t="str">
        <f t="shared" si="6"/>
        <v>No</v>
      </c>
      <c r="S57" s="46" t="str">
        <f t="shared" si="7"/>
        <v>Yes</v>
      </c>
      <c r="T57" s="47">
        <f>ROUND(INDEX(Summary!H:H,MATCH(H:H,Summary!A:A,0)),2)</f>
        <v>0</v>
      </c>
      <c r="U57" s="47">
        <f>ROUND(INDEX(Summary!I:I,MATCH(H:H,Summary!A:A,0)),2)</f>
        <v>0.2</v>
      </c>
      <c r="V57" s="81">
        <f t="shared" si="8"/>
        <v>0</v>
      </c>
      <c r="W57" s="81">
        <f t="shared" si="9"/>
        <v>161842.23549577122</v>
      </c>
      <c r="X57" s="45">
        <f t="shared" si="10"/>
        <v>161842.23549577122</v>
      </c>
      <c r="Y57" s="45" t="s">
        <v>2752</v>
      </c>
      <c r="Z57" s="45" t="str">
        <f t="shared" si="11"/>
        <v>No</v>
      </c>
      <c r="AA57" s="45" t="str">
        <f t="shared" si="12"/>
        <v>Yes</v>
      </c>
      <c r="AB57" s="45" t="str">
        <f t="shared" si="13"/>
        <v>Yes</v>
      </c>
      <c r="AC57" s="82">
        <f t="shared" si="24"/>
        <v>0</v>
      </c>
      <c r="AD57" s="82">
        <f t="shared" si="25"/>
        <v>0.16</v>
      </c>
      <c r="AE57" s="45">
        <f t="shared" si="26"/>
        <v>0</v>
      </c>
      <c r="AF57" s="45">
        <f t="shared" si="14"/>
        <v>129473.78839661698</v>
      </c>
      <c r="AG57" s="45">
        <f t="shared" si="15"/>
        <v>129473.78839661698</v>
      </c>
      <c r="AH57" s="47">
        <f>IFERROR(ROUNDDOWN(INDEX('90% of ACR'!K:K,MATCH(H:H,'90% of ACR'!A:A,0))*IF(I57&gt;0,IF(O57&gt;0,$R$4*MAX(O57-V57,0),0),0)/I57,2),0)</f>
        <v>0</v>
      </c>
      <c r="AI57" s="82">
        <f>IFERROR(ROUNDDOWN(INDEX('90% of ACR'!R:R,MATCH(H:H,'90% of ACR'!A:A,0))*IF(J57&gt;0,IF(P57&gt;0,$R$4*MAX(P57-W57,0),0),0)/J57,2),0)</f>
        <v>0.14000000000000001</v>
      </c>
      <c r="AJ57" s="45">
        <f t="shared" si="16"/>
        <v>0</v>
      </c>
      <c r="AK57" s="45">
        <f t="shared" si="17"/>
        <v>113289.56484703986</v>
      </c>
      <c r="AL57" s="47">
        <f t="shared" si="18"/>
        <v>0</v>
      </c>
      <c r="AM57" s="47">
        <f t="shared" si="19"/>
        <v>0.34</v>
      </c>
      <c r="AN57" s="83">
        <f>IFERROR(INDEX('Fee Calc'!P:P,MATCH(C57,'Fee Calc'!F:F,0)),0)</f>
        <v>275131.8003428111</v>
      </c>
      <c r="AO57" s="83">
        <f>IFERROR(INDEX('Fee Calc'!Q:Q,MATCH(C57,'Fee Calc'!F:F,0)),0)</f>
        <v>16997.146068898732</v>
      </c>
      <c r="AP57" s="83">
        <f t="shared" si="20"/>
        <v>292128.94641170983</v>
      </c>
      <c r="AQ57" s="70">
        <f t="shared" si="21"/>
        <v>124748.40824408527</v>
      </c>
      <c r="AR57" s="70">
        <f t="shared" si="22"/>
        <v>62374.204122042633</v>
      </c>
      <c r="AS57" s="70">
        <f t="shared" si="23"/>
        <v>62374.204122042633</v>
      </c>
    </row>
    <row r="58" spans="1:45">
      <c r="A58" s="104" t="s">
        <v>656</v>
      </c>
      <c r="B58" s="124" t="s">
        <v>656</v>
      </c>
      <c r="C58" s="31" t="s">
        <v>657</v>
      </c>
      <c r="D58" s="125" t="s">
        <v>657</v>
      </c>
      <c r="E58" s="119" t="s">
        <v>2802</v>
      </c>
      <c r="F58" s="100" t="s">
        <v>2291</v>
      </c>
      <c r="G58" s="100" t="s">
        <v>227</v>
      </c>
      <c r="H58" s="43" t="str">
        <f t="shared" si="2"/>
        <v>Rural MRSA West</v>
      </c>
      <c r="I58" s="45">
        <f>INDEX('Fee Calc'!M:M,MATCH(C:C,'Fee Calc'!F:F,0))</f>
        <v>380962.12825415918</v>
      </c>
      <c r="J58" s="45">
        <f>INDEX('Fee Calc'!L:L,MATCH(C:C,'Fee Calc'!F:F,0))</f>
        <v>577220.49803077185</v>
      </c>
      <c r="K58" s="45">
        <f t="shared" si="3"/>
        <v>958182.62628493109</v>
      </c>
      <c r="L58" s="45">
        <v>139487.6</v>
      </c>
      <c r="M58" s="45">
        <v>-5892.58</v>
      </c>
      <c r="N58" s="45">
        <f t="shared" si="4"/>
        <v>133595.02000000002</v>
      </c>
      <c r="O58" s="45">
        <v>-75380.308915066475</v>
      </c>
      <c r="P58" s="45">
        <v>37078.100942206744</v>
      </c>
      <c r="Q58" s="45">
        <f t="shared" si="5"/>
        <v>-38302.207972859731</v>
      </c>
      <c r="R58" s="45" t="str">
        <f t="shared" si="6"/>
        <v>No</v>
      </c>
      <c r="S58" s="46" t="str">
        <f t="shared" si="7"/>
        <v>Yes</v>
      </c>
      <c r="T58" s="47">
        <f>ROUND(INDEX(Summary!H:H,MATCH(H:H,Summary!A:A,0)),2)</f>
        <v>0</v>
      </c>
      <c r="U58" s="47">
        <f>ROUND(INDEX(Summary!I:I,MATCH(H:H,Summary!A:A,0)),2)</f>
        <v>0.2</v>
      </c>
      <c r="V58" s="81">
        <f t="shared" si="8"/>
        <v>0</v>
      </c>
      <c r="W58" s="81">
        <f t="shared" si="9"/>
        <v>115444.09960615437</v>
      </c>
      <c r="X58" s="45">
        <f t="shared" si="10"/>
        <v>115444.09960615437</v>
      </c>
      <c r="Y58" s="45" t="s">
        <v>2752</v>
      </c>
      <c r="Z58" s="45" t="str">
        <f t="shared" si="11"/>
        <v>No</v>
      </c>
      <c r="AA58" s="45" t="str">
        <f t="shared" si="12"/>
        <v>No</v>
      </c>
      <c r="AB58" s="45" t="str">
        <f t="shared" si="13"/>
        <v>No</v>
      </c>
      <c r="AC58" s="82">
        <f t="shared" si="24"/>
        <v>0</v>
      </c>
      <c r="AD58" s="82">
        <f t="shared" si="25"/>
        <v>0</v>
      </c>
      <c r="AE58" s="45">
        <f t="shared" si="26"/>
        <v>0</v>
      </c>
      <c r="AF58" s="45">
        <f t="shared" si="14"/>
        <v>0</v>
      </c>
      <c r="AG58" s="45">
        <f t="shared" si="15"/>
        <v>0</v>
      </c>
      <c r="AH58" s="47">
        <f>IFERROR(ROUNDDOWN(INDEX('90% of ACR'!K:K,MATCH(H:H,'90% of ACR'!A:A,0))*IF(I58&gt;0,IF(O58&gt;0,$R$4*MAX(O58-V58,0),0),0)/I58,2),0)</f>
        <v>0</v>
      </c>
      <c r="AI58" s="82">
        <f>IFERROR(ROUNDDOWN(INDEX('90% of ACR'!R:R,MATCH(H:H,'90% of ACR'!A:A,0))*IF(J58&gt;0,IF(P58&gt;0,$R$4*MAX(P58-W58,0),0),0)/J58,2),0)</f>
        <v>0</v>
      </c>
      <c r="AJ58" s="45">
        <f t="shared" si="16"/>
        <v>0</v>
      </c>
      <c r="AK58" s="45">
        <f t="shared" si="17"/>
        <v>0</v>
      </c>
      <c r="AL58" s="47">
        <f t="shared" si="18"/>
        <v>0</v>
      </c>
      <c r="AM58" s="47">
        <f t="shared" si="19"/>
        <v>0.2</v>
      </c>
      <c r="AN58" s="83">
        <f>IFERROR(INDEX('Fee Calc'!P:P,MATCH(C58,'Fee Calc'!F:F,0)),0)</f>
        <v>115444.09960615437</v>
      </c>
      <c r="AO58" s="83">
        <f>IFERROR(INDEX('Fee Calc'!Q:Q,MATCH(C58,'Fee Calc'!F:F,0)),0)</f>
        <v>7069.7019327282178</v>
      </c>
      <c r="AP58" s="83">
        <f t="shared" si="20"/>
        <v>122513.80153888259</v>
      </c>
      <c r="AQ58" s="70">
        <f t="shared" si="21"/>
        <v>52317.313698752107</v>
      </c>
      <c r="AR58" s="70">
        <f t="shared" si="22"/>
        <v>26158.656849376053</v>
      </c>
      <c r="AS58" s="70">
        <f t="shared" si="23"/>
        <v>26158.656849376053</v>
      </c>
    </row>
    <row r="59" spans="1:45">
      <c r="A59" s="104" t="s">
        <v>55</v>
      </c>
      <c r="B59" s="124" t="s">
        <v>55</v>
      </c>
      <c r="C59" s="31" t="s">
        <v>56</v>
      </c>
      <c r="D59" s="125" t="s">
        <v>56</v>
      </c>
      <c r="E59" s="119" t="s">
        <v>2803</v>
      </c>
      <c r="F59" s="100" t="s">
        <v>1547</v>
      </c>
      <c r="G59" s="100" t="s">
        <v>223</v>
      </c>
      <c r="H59" s="43" t="str">
        <f t="shared" si="2"/>
        <v>Children's Dallas</v>
      </c>
      <c r="I59" s="45">
        <f>INDEX('Fee Calc'!M:M,MATCH(C:C,'Fee Calc'!F:F,0))</f>
        <v>170596994.96112299</v>
      </c>
      <c r="J59" s="45">
        <f>INDEX('Fee Calc'!L:L,MATCH(C:C,'Fee Calc'!F:F,0))</f>
        <v>217100702.50292516</v>
      </c>
      <c r="K59" s="45">
        <f t="shared" si="3"/>
        <v>387697697.46404815</v>
      </c>
      <c r="L59" s="45">
        <v>137045652.50999999</v>
      </c>
      <c r="M59" s="45">
        <v>-34420856.460000001</v>
      </c>
      <c r="N59" s="45">
        <f t="shared" si="4"/>
        <v>102624796.04999998</v>
      </c>
      <c r="O59" s="45">
        <v>221836091.74397185</v>
      </c>
      <c r="P59" s="45">
        <v>89550163.935557887</v>
      </c>
      <c r="Q59" s="45">
        <f t="shared" si="5"/>
        <v>311386255.67952973</v>
      </c>
      <c r="R59" s="45" t="str">
        <f t="shared" si="6"/>
        <v>Yes</v>
      </c>
      <c r="S59" s="46" t="str">
        <f t="shared" si="7"/>
        <v>Yes</v>
      </c>
      <c r="T59" s="47">
        <f>ROUND(INDEX(Summary!H:H,MATCH(H:H,Summary!A:A,0)),2)</f>
        <v>0.71</v>
      </c>
      <c r="U59" s="47">
        <f>ROUND(INDEX(Summary!I:I,MATCH(H:H,Summary!A:A,0)),2)</f>
        <v>0</v>
      </c>
      <c r="V59" s="81">
        <f t="shared" si="8"/>
        <v>121123866.42239732</v>
      </c>
      <c r="W59" s="81">
        <f t="shared" si="9"/>
        <v>0</v>
      </c>
      <c r="X59" s="45">
        <f t="shared" si="10"/>
        <v>121123866.42239732</v>
      </c>
      <c r="Y59" s="45" t="s">
        <v>2752</v>
      </c>
      <c r="Z59" s="45" t="str">
        <f t="shared" si="11"/>
        <v>Yes</v>
      </c>
      <c r="AA59" s="45" t="str">
        <f t="shared" si="12"/>
        <v>Yes</v>
      </c>
      <c r="AB59" s="45" t="str">
        <f t="shared" si="13"/>
        <v>Yes</v>
      </c>
      <c r="AC59" s="82">
        <f t="shared" si="24"/>
        <v>0.41</v>
      </c>
      <c r="AD59" s="82">
        <f t="shared" si="25"/>
        <v>0.28999999999999998</v>
      </c>
      <c r="AE59" s="45">
        <f t="shared" si="26"/>
        <v>69944767.934060425</v>
      </c>
      <c r="AF59" s="45">
        <f t="shared" si="14"/>
        <v>62959203.725848295</v>
      </c>
      <c r="AG59" s="45">
        <f t="shared" si="15"/>
        <v>132903971.65990871</v>
      </c>
      <c r="AH59" s="47">
        <f>IFERROR(ROUNDDOWN(INDEX('90% of ACR'!K:K,MATCH(H:H,'90% of ACR'!A:A,0))*IF(I59&gt;0,IF(O59&gt;0,$R$4*MAX(O59-V59,0),0),0)/I59,2),0)</f>
        <v>0.34</v>
      </c>
      <c r="AI59" s="82">
        <f>IFERROR(ROUNDDOWN(INDEX('90% of ACR'!R:R,MATCH(H:H,'90% of ACR'!A:A,0))*IF(J59&gt;0,IF(P59&gt;0,$R$4*MAX(P59-W59,0),0),0)/J59,2),0)</f>
        <v>0.28000000000000003</v>
      </c>
      <c r="AJ59" s="45">
        <f t="shared" si="16"/>
        <v>58002978.286781818</v>
      </c>
      <c r="AK59" s="45">
        <f t="shared" si="17"/>
        <v>60788196.700819053</v>
      </c>
      <c r="AL59" s="47">
        <f t="shared" si="18"/>
        <v>1.05</v>
      </c>
      <c r="AM59" s="47">
        <f t="shared" si="19"/>
        <v>0.28000000000000003</v>
      </c>
      <c r="AN59" s="83">
        <f>IFERROR(INDEX('Fee Calc'!P:P,MATCH(C59,'Fee Calc'!F:F,0)),0)</f>
        <v>239915041.40999818</v>
      </c>
      <c r="AO59" s="83">
        <f>IFERROR(INDEX('Fee Calc'!Q:Q,MATCH(C59,'Fee Calc'!F:F,0)),0)</f>
        <v>14638735.905621631</v>
      </c>
      <c r="AP59" s="83">
        <f t="shared" si="20"/>
        <v>254553777.3156198</v>
      </c>
      <c r="AQ59" s="70">
        <f t="shared" si="21"/>
        <v>108702608.63464375</v>
      </c>
      <c r="AR59" s="70">
        <f t="shared" si="22"/>
        <v>54351304.317321874</v>
      </c>
      <c r="AS59" s="70">
        <f t="shared" si="23"/>
        <v>54351304.317321874</v>
      </c>
    </row>
    <row r="60" spans="1:45">
      <c r="A60" s="104" t="s">
        <v>58</v>
      </c>
      <c r="B60" s="124" t="s">
        <v>58</v>
      </c>
      <c r="C60" s="31" t="s">
        <v>59</v>
      </c>
      <c r="D60" s="125" t="s">
        <v>59</v>
      </c>
      <c r="E60" s="119" t="s">
        <v>2572</v>
      </c>
      <c r="F60" s="100" t="s">
        <v>1547</v>
      </c>
      <c r="G60" s="100" t="s">
        <v>223</v>
      </c>
      <c r="H60" s="43" t="str">
        <f t="shared" si="2"/>
        <v>Children's Dallas</v>
      </c>
      <c r="I60" s="45">
        <f>INDEX('Fee Calc'!M:M,MATCH(C:C,'Fee Calc'!F:F,0))</f>
        <v>12010471.243023837</v>
      </c>
      <c r="J60" s="45">
        <f>INDEX('Fee Calc'!L:L,MATCH(C:C,'Fee Calc'!F:F,0))</f>
        <v>56955645.975217536</v>
      </c>
      <c r="K60" s="45">
        <f t="shared" si="3"/>
        <v>68966117.218241379</v>
      </c>
      <c r="L60" s="45">
        <v>-2538628.1</v>
      </c>
      <c r="M60" s="45">
        <v>-4269380.3</v>
      </c>
      <c r="N60" s="45">
        <f t="shared" si="4"/>
        <v>-6808008.4000000004</v>
      </c>
      <c r="O60" s="45">
        <v>8521038.2706753649</v>
      </c>
      <c r="P60" s="45">
        <v>22493409.578856461</v>
      </c>
      <c r="Q60" s="45">
        <f t="shared" si="5"/>
        <v>31014447.849531826</v>
      </c>
      <c r="R60" s="45" t="str">
        <f t="shared" si="6"/>
        <v>Yes</v>
      </c>
      <c r="S60" s="46" t="str">
        <f t="shared" si="7"/>
        <v>Yes</v>
      </c>
      <c r="T60" s="47">
        <f>ROUND(INDEX(Summary!H:H,MATCH(H:H,Summary!A:A,0)),2)</f>
        <v>0.71</v>
      </c>
      <c r="U60" s="47">
        <f>ROUND(INDEX(Summary!I:I,MATCH(H:H,Summary!A:A,0)),2)</f>
        <v>0</v>
      </c>
      <c r="V60" s="81">
        <f t="shared" si="8"/>
        <v>8527434.5825469233</v>
      </c>
      <c r="W60" s="81">
        <f t="shared" si="9"/>
        <v>0</v>
      </c>
      <c r="X60" s="45">
        <f t="shared" si="10"/>
        <v>8527434.5825469233</v>
      </c>
      <c r="Y60" s="45" t="s">
        <v>2752</v>
      </c>
      <c r="Z60" s="45" t="str">
        <f t="shared" si="11"/>
        <v>No</v>
      </c>
      <c r="AA60" s="45" t="str">
        <f t="shared" si="12"/>
        <v>Yes</v>
      </c>
      <c r="AB60" s="45" t="str">
        <f t="shared" si="13"/>
        <v>Yes</v>
      </c>
      <c r="AC60" s="82">
        <f t="shared" si="24"/>
        <v>0</v>
      </c>
      <c r="AD60" s="82">
        <f t="shared" si="25"/>
        <v>0.28000000000000003</v>
      </c>
      <c r="AE60" s="45">
        <f t="shared" si="26"/>
        <v>0</v>
      </c>
      <c r="AF60" s="45">
        <f t="shared" si="14"/>
        <v>15947580.873060912</v>
      </c>
      <c r="AG60" s="45">
        <f t="shared" si="15"/>
        <v>15947580.873060912</v>
      </c>
      <c r="AH60" s="47">
        <f>IFERROR(ROUNDDOWN(INDEX('90% of ACR'!K:K,MATCH(H:H,'90% of ACR'!A:A,0))*IF(I60&gt;0,IF(O60&gt;0,$R$4*MAX(O60-V60,0),0),0)/I60,2),0)</f>
        <v>0</v>
      </c>
      <c r="AI60" s="82">
        <f>IFERROR(ROUNDDOWN(INDEX('90% of ACR'!R:R,MATCH(H:H,'90% of ACR'!A:A,0))*IF(J60&gt;0,IF(P60&gt;0,$R$4*MAX(P60-W60,0),0),0)/J60,2),0)</f>
        <v>0.27</v>
      </c>
      <c r="AJ60" s="45">
        <f t="shared" si="16"/>
        <v>0</v>
      </c>
      <c r="AK60" s="45">
        <f t="shared" si="17"/>
        <v>15378024.413308736</v>
      </c>
      <c r="AL60" s="47">
        <f t="shared" si="18"/>
        <v>0.71</v>
      </c>
      <c r="AM60" s="47">
        <f t="shared" si="19"/>
        <v>0.27</v>
      </c>
      <c r="AN60" s="83">
        <f>IFERROR(INDEX('Fee Calc'!P:P,MATCH(C60,'Fee Calc'!F:F,0)),0)</f>
        <v>23905458.995855659</v>
      </c>
      <c r="AO60" s="83">
        <f>IFERROR(INDEX('Fee Calc'!Q:Q,MATCH(C60,'Fee Calc'!F:F,0)),0)</f>
        <v>1458433.7559501538</v>
      </c>
      <c r="AP60" s="83">
        <f t="shared" si="20"/>
        <v>25363892.751805812</v>
      </c>
      <c r="AQ60" s="70">
        <f t="shared" si="21"/>
        <v>10831193.849589139</v>
      </c>
      <c r="AR60" s="70">
        <f t="shared" si="22"/>
        <v>5415596.9247945696</v>
      </c>
      <c r="AS60" s="70">
        <f t="shared" si="23"/>
        <v>5415596.9247945696</v>
      </c>
    </row>
    <row r="61" spans="1:45">
      <c r="A61" s="104" t="s">
        <v>741</v>
      </c>
      <c r="B61" s="124" t="s">
        <v>741</v>
      </c>
      <c r="C61" s="31" t="s">
        <v>742</v>
      </c>
      <c r="D61" s="125" t="s">
        <v>742</v>
      </c>
      <c r="E61" s="119" t="s">
        <v>2685</v>
      </c>
      <c r="F61" s="100" t="s">
        <v>2291</v>
      </c>
      <c r="G61" s="100" t="s">
        <v>227</v>
      </c>
      <c r="H61" s="43" t="str">
        <f t="shared" si="2"/>
        <v>Rural MRSA West</v>
      </c>
      <c r="I61" s="45">
        <f>INDEX('Fee Calc'!M:M,MATCH(C:C,'Fee Calc'!F:F,0))</f>
        <v>238029.06103495444</v>
      </c>
      <c r="J61" s="45">
        <f>INDEX('Fee Calc'!L:L,MATCH(C:C,'Fee Calc'!F:F,0))</f>
        <v>11282.596003687979</v>
      </c>
      <c r="K61" s="45">
        <f t="shared" si="3"/>
        <v>249311.65703864241</v>
      </c>
      <c r="L61" s="45">
        <v>21437.97</v>
      </c>
      <c r="M61" s="45">
        <v>552.78</v>
      </c>
      <c r="N61" s="45">
        <f t="shared" si="4"/>
        <v>21990.75</v>
      </c>
      <c r="O61" s="45">
        <v>9601.414919949264</v>
      </c>
      <c r="P61" s="45">
        <v>2720.3473515254036</v>
      </c>
      <c r="Q61" s="45">
        <f t="shared" si="5"/>
        <v>12321.762271474669</v>
      </c>
      <c r="R61" s="45" t="str">
        <f t="shared" si="6"/>
        <v>Yes</v>
      </c>
      <c r="S61" s="46" t="str">
        <f t="shared" si="7"/>
        <v>Yes</v>
      </c>
      <c r="T61" s="47">
        <f>ROUND(INDEX(Summary!H:H,MATCH(H:H,Summary!A:A,0)),2)</f>
        <v>0</v>
      </c>
      <c r="U61" s="47">
        <f>ROUND(INDEX(Summary!I:I,MATCH(H:H,Summary!A:A,0)),2)</f>
        <v>0.2</v>
      </c>
      <c r="V61" s="81">
        <f t="shared" si="8"/>
        <v>0</v>
      </c>
      <c r="W61" s="81">
        <f t="shared" si="9"/>
        <v>2256.5192007375958</v>
      </c>
      <c r="X61" s="45">
        <f t="shared" si="10"/>
        <v>2256.5192007375958</v>
      </c>
      <c r="Y61" s="45" t="s">
        <v>2752</v>
      </c>
      <c r="Z61" s="45" t="str">
        <f t="shared" si="11"/>
        <v>No</v>
      </c>
      <c r="AA61" s="45" t="str">
        <f t="shared" si="12"/>
        <v>Yes</v>
      </c>
      <c r="AB61" s="45" t="str">
        <f t="shared" si="13"/>
        <v>Yes</v>
      </c>
      <c r="AC61" s="82">
        <f t="shared" si="24"/>
        <v>0.03</v>
      </c>
      <c r="AD61" s="82">
        <f t="shared" si="25"/>
        <v>0.03</v>
      </c>
      <c r="AE61" s="45">
        <f t="shared" si="26"/>
        <v>7140.8718310486329</v>
      </c>
      <c r="AF61" s="45">
        <f t="shared" si="14"/>
        <v>338.47788011063938</v>
      </c>
      <c r="AG61" s="45">
        <f t="shared" si="15"/>
        <v>7479.3497111592724</v>
      </c>
      <c r="AH61" s="47">
        <f>IFERROR(ROUNDDOWN(INDEX('90% of ACR'!K:K,MATCH(H:H,'90% of ACR'!A:A,0))*IF(I61&gt;0,IF(O61&gt;0,$R$4*MAX(O61-V61,0),0),0)/I61,2),0)</f>
        <v>0</v>
      </c>
      <c r="AI61" s="82">
        <f>IFERROR(ROUNDDOWN(INDEX('90% of ACR'!R:R,MATCH(H:H,'90% of ACR'!A:A,0))*IF(J61&gt;0,IF(P61&gt;0,$R$4*MAX(P61-W61,0),0),0)/J61,2),0)</f>
        <v>0.02</v>
      </c>
      <c r="AJ61" s="45">
        <f t="shared" si="16"/>
        <v>0</v>
      </c>
      <c r="AK61" s="45">
        <f t="shared" si="17"/>
        <v>225.65192007375958</v>
      </c>
      <c r="AL61" s="47">
        <f t="shared" si="18"/>
        <v>0</v>
      </c>
      <c r="AM61" s="47">
        <f t="shared" si="19"/>
        <v>0.22</v>
      </c>
      <c r="AN61" s="83">
        <f>IFERROR(INDEX('Fee Calc'!P:P,MATCH(C61,'Fee Calc'!F:F,0)),0)</f>
        <v>2482.1711208113552</v>
      </c>
      <c r="AO61" s="83">
        <f>IFERROR(INDEX('Fee Calc'!Q:Q,MATCH(C61,'Fee Calc'!F:F,0)),0)</f>
        <v>152.01093575013351</v>
      </c>
      <c r="AP61" s="83">
        <f t="shared" si="20"/>
        <v>2634.1820565614889</v>
      </c>
      <c r="AQ61" s="70">
        <f t="shared" si="21"/>
        <v>1124.8800319775657</v>
      </c>
      <c r="AR61" s="70">
        <f t="shared" si="22"/>
        <v>562.44001598878287</v>
      </c>
      <c r="AS61" s="70">
        <f t="shared" si="23"/>
        <v>562.44001598878287</v>
      </c>
    </row>
    <row r="62" spans="1:45">
      <c r="A62" s="104" t="s">
        <v>762</v>
      </c>
      <c r="B62" s="124" t="s">
        <v>762</v>
      </c>
      <c r="C62" s="31" t="s">
        <v>763</v>
      </c>
      <c r="D62" s="125" t="s">
        <v>763</v>
      </c>
      <c r="E62" s="119" t="s">
        <v>2459</v>
      </c>
      <c r="F62" s="100" t="s">
        <v>2279</v>
      </c>
      <c r="G62" s="100" t="s">
        <v>223</v>
      </c>
      <c r="H62" s="43" t="str">
        <f t="shared" si="2"/>
        <v>Urban Dallas</v>
      </c>
      <c r="I62" s="45">
        <f>INDEX('Fee Calc'!M:M,MATCH(C:C,'Fee Calc'!F:F,0))</f>
        <v>7484956.0672540879</v>
      </c>
      <c r="J62" s="45">
        <f>INDEX('Fee Calc'!L:L,MATCH(C:C,'Fee Calc'!F:F,0))</f>
        <v>5053845.4349803114</v>
      </c>
      <c r="K62" s="45">
        <f t="shared" si="3"/>
        <v>12538801.502234399</v>
      </c>
      <c r="L62" s="45">
        <v>3332900.15</v>
      </c>
      <c r="M62" s="45">
        <v>1393701.15</v>
      </c>
      <c r="N62" s="45">
        <f t="shared" si="4"/>
        <v>4726601.3</v>
      </c>
      <c r="O62" s="45">
        <v>5970710.7015589047</v>
      </c>
      <c r="P62" s="45">
        <v>1846226.179088047</v>
      </c>
      <c r="Q62" s="45">
        <f t="shared" si="5"/>
        <v>7816936.8806469515</v>
      </c>
      <c r="R62" s="45" t="str">
        <f t="shared" si="6"/>
        <v>Yes</v>
      </c>
      <c r="S62" s="46" t="str">
        <f t="shared" si="7"/>
        <v>Yes</v>
      </c>
      <c r="T62" s="47">
        <f>ROUND(INDEX(Summary!H:H,MATCH(H:H,Summary!A:A,0)),2)</f>
        <v>0.54</v>
      </c>
      <c r="U62" s="47">
        <f>ROUND(INDEX(Summary!I:I,MATCH(H:H,Summary!A:A,0)),2)</f>
        <v>0.27</v>
      </c>
      <c r="V62" s="81">
        <f t="shared" si="8"/>
        <v>4041876.2763172076</v>
      </c>
      <c r="W62" s="81">
        <f t="shared" si="9"/>
        <v>1364538.2674446842</v>
      </c>
      <c r="X62" s="45">
        <f t="shared" si="10"/>
        <v>5406414.5437618922</v>
      </c>
      <c r="Y62" s="45" t="s">
        <v>2752</v>
      </c>
      <c r="Z62" s="45" t="str">
        <f t="shared" si="11"/>
        <v>Yes</v>
      </c>
      <c r="AA62" s="45" t="str">
        <f t="shared" si="12"/>
        <v>Yes</v>
      </c>
      <c r="AB62" s="45" t="str">
        <f t="shared" si="13"/>
        <v>Yes</v>
      </c>
      <c r="AC62" s="82">
        <f t="shared" si="24"/>
        <v>0.18</v>
      </c>
      <c r="AD62" s="82">
        <f t="shared" si="25"/>
        <v>7.0000000000000007E-2</v>
      </c>
      <c r="AE62" s="45">
        <f t="shared" si="26"/>
        <v>1347292.0921057358</v>
      </c>
      <c r="AF62" s="45">
        <f t="shared" si="14"/>
        <v>353769.18044862186</v>
      </c>
      <c r="AG62" s="45">
        <f t="shared" si="15"/>
        <v>1701061.2725543575</v>
      </c>
      <c r="AH62" s="47">
        <f>IFERROR(ROUNDDOWN(INDEX('90% of ACR'!K:K,MATCH(H:H,'90% of ACR'!A:A,0))*IF(I62&gt;0,IF(O62&gt;0,$R$4*MAX(O62-V62,0),0),0)/I62,2),0)</f>
        <v>0.17</v>
      </c>
      <c r="AI62" s="82">
        <f>IFERROR(ROUNDDOWN(INDEX('90% of ACR'!R:R,MATCH(H:H,'90% of ACR'!A:A,0))*IF(J62&gt;0,IF(P62&gt;0,$R$4*MAX(P62-W62,0),0),0)/J62,2),0)</f>
        <v>0.06</v>
      </c>
      <c r="AJ62" s="45">
        <f t="shared" si="16"/>
        <v>1272442.5314331951</v>
      </c>
      <c r="AK62" s="45">
        <f t="shared" si="17"/>
        <v>303230.72609881865</v>
      </c>
      <c r="AL62" s="47">
        <f t="shared" si="18"/>
        <v>0.71000000000000008</v>
      </c>
      <c r="AM62" s="47">
        <f t="shared" si="19"/>
        <v>0.33</v>
      </c>
      <c r="AN62" s="83">
        <f>IFERROR(INDEX('Fee Calc'!P:P,MATCH(C62,'Fee Calc'!F:F,0)),0)</f>
        <v>6982087.8012939058</v>
      </c>
      <c r="AO62" s="83">
        <f>IFERROR(INDEX('Fee Calc'!Q:Q,MATCH(C62,'Fee Calc'!F:F,0)),0)</f>
        <v>430138.93149639422</v>
      </c>
      <c r="AP62" s="83">
        <f t="shared" si="20"/>
        <v>7412226.7327902997</v>
      </c>
      <c r="AQ62" s="70">
        <f t="shared" si="21"/>
        <v>3165258.006156907</v>
      </c>
      <c r="AR62" s="70">
        <f t="shared" si="22"/>
        <v>1582629.0030784535</v>
      </c>
      <c r="AS62" s="70">
        <f t="shared" si="23"/>
        <v>1582629.0030784535</v>
      </c>
    </row>
    <row r="63" spans="1:45">
      <c r="A63" s="104" t="s">
        <v>171</v>
      </c>
      <c r="B63" s="124" t="s">
        <v>171</v>
      </c>
      <c r="C63" s="31" t="s">
        <v>172</v>
      </c>
      <c r="D63" s="125" t="s">
        <v>172</v>
      </c>
      <c r="E63" s="119" t="s">
        <v>2804</v>
      </c>
      <c r="F63" s="100" t="s">
        <v>2291</v>
      </c>
      <c r="G63" s="100" t="s">
        <v>227</v>
      </c>
      <c r="H63" s="43" t="str">
        <f t="shared" si="2"/>
        <v>Rural MRSA West</v>
      </c>
      <c r="I63" s="45">
        <f>INDEX('Fee Calc'!M:M,MATCH(C:C,'Fee Calc'!F:F,0))</f>
        <v>104299.64284192346</v>
      </c>
      <c r="J63" s="45">
        <f>INDEX('Fee Calc'!L:L,MATCH(C:C,'Fee Calc'!F:F,0))</f>
        <v>501465.50868622831</v>
      </c>
      <c r="K63" s="45">
        <f t="shared" si="3"/>
        <v>605765.15152815171</v>
      </c>
      <c r="L63" s="45">
        <v>132161.99</v>
      </c>
      <c r="M63" s="45">
        <v>4290.74</v>
      </c>
      <c r="N63" s="45">
        <f t="shared" si="4"/>
        <v>136452.72999999998</v>
      </c>
      <c r="O63" s="45">
        <v>1075223.9294852922</v>
      </c>
      <c r="P63" s="45">
        <v>374645.08644876175</v>
      </c>
      <c r="Q63" s="45">
        <f t="shared" si="5"/>
        <v>1449869.0159340538</v>
      </c>
      <c r="R63" s="45" t="str">
        <f t="shared" si="6"/>
        <v>Yes</v>
      </c>
      <c r="S63" s="46" t="str">
        <f t="shared" si="7"/>
        <v>Yes</v>
      </c>
      <c r="T63" s="47">
        <f>ROUND(INDEX(Summary!H:H,MATCH(H:H,Summary!A:A,0)),2)</f>
        <v>0</v>
      </c>
      <c r="U63" s="47">
        <f>ROUND(INDEX(Summary!I:I,MATCH(H:H,Summary!A:A,0)),2)</f>
        <v>0.2</v>
      </c>
      <c r="V63" s="81">
        <f t="shared" si="8"/>
        <v>0</v>
      </c>
      <c r="W63" s="81">
        <f t="shared" si="9"/>
        <v>100293.10173724567</v>
      </c>
      <c r="X63" s="45">
        <f t="shared" si="10"/>
        <v>100293.10173724567</v>
      </c>
      <c r="Y63" s="45" t="s">
        <v>2752</v>
      </c>
      <c r="Z63" s="45" t="str">
        <f t="shared" si="11"/>
        <v>No</v>
      </c>
      <c r="AA63" s="45" t="str">
        <f t="shared" si="12"/>
        <v>Yes</v>
      </c>
      <c r="AB63" s="45" t="str">
        <f t="shared" si="13"/>
        <v>Yes</v>
      </c>
      <c r="AC63" s="82">
        <f t="shared" si="24"/>
        <v>7.18</v>
      </c>
      <c r="AD63" s="82">
        <f t="shared" si="25"/>
        <v>0.38</v>
      </c>
      <c r="AE63" s="45">
        <f t="shared" si="26"/>
        <v>748871.43560501037</v>
      </c>
      <c r="AF63" s="45">
        <f t="shared" si="14"/>
        <v>190556.89330076677</v>
      </c>
      <c r="AG63" s="45">
        <f t="shared" si="15"/>
        <v>939428.32890577707</v>
      </c>
      <c r="AH63" s="47">
        <f>IFERROR(ROUNDDOWN(INDEX('90% of ACR'!K:K,MATCH(H:H,'90% of ACR'!A:A,0))*IF(I63&gt;0,IF(O63&gt;0,$R$4*MAX(O63-V63,0),0),0)/I63,2),0)</f>
        <v>0</v>
      </c>
      <c r="AI63" s="82">
        <f>IFERROR(ROUNDDOWN(INDEX('90% of ACR'!R:R,MATCH(H:H,'90% of ACR'!A:A,0))*IF(J63&gt;0,IF(P63&gt;0,$R$4*MAX(P63-W63,0),0),0)/J63,2),0)</f>
        <v>0.33</v>
      </c>
      <c r="AJ63" s="45">
        <f t="shared" si="16"/>
        <v>0</v>
      </c>
      <c r="AK63" s="45">
        <f t="shared" si="17"/>
        <v>165483.61786645534</v>
      </c>
      <c r="AL63" s="47">
        <f t="shared" si="18"/>
        <v>0</v>
      </c>
      <c r="AM63" s="47">
        <f t="shared" si="19"/>
        <v>0.53</v>
      </c>
      <c r="AN63" s="83">
        <f>IFERROR(INDEX('Fee Calc'!P:P,MATCH(C63,'Fee Calc'!F:F,0)),0)</f>
        <v>265776.71960370103</v>
      </c>
      <c r="AO63" s="83">
        <f>IFERROR(INDEX('Fee Calc'!Q:Q,MATCH(C63,'Fee Calc'!F:F,0)),0)</f>
        <v>16438.263516957384</v>
      </c>
      <c r="AP63" s="83">
        <f t="shared" si="20"/>
        <v>282214.98312065843</v>
      </c>
      <c r="AQ63" s="70">
        <f t="shared" si="21"/>
        <v>120514.82867198101</v>
      </c>
      <c r="AR63" s="70">
        <f t="shared" si="22"/>
        <v>60257.414335990507</v>
      </c>
      <c r="AS63" s="70">
        <f t="shared" si="23"/>
        <v>60257.414335990507</v>
      </c>
    </row>
    <row r="64" spans="1:45">
      <c r="A64" s="104" t="s">
        <v>515</v>
      </c>
      <c r="B64" s="124" t="s">
        <v>515</v>
      </c>
      <c r="C64" s="31" t="s">
        <v>516</v>
      </c>
      <c r="D64" s="125" t="s">
        <v>516</v>
      </c>
      <c r="E64" s="119" t="s">
        <v>2558</v>
      </c>
      <c r="F64" s="100" t="s">
        <v>2291</v>
      </c>
      <c r="G64" s="100" t="s">
        <v>1514</v>
      </c>
      <c r="H64" s="43" t="str">
        <f t="shared" si="2"/>
        <v>Rural Hidalgo</v>
      </c>
      <c r="I64" s="45">
        <f>INDEX('Fee Calc'!M:M,MATCH(C:C,'Fee Calc'!F:F,0))</f>
        <v>10023395.454448607</v>
      </c>
      <c r="J64" s="45">
        <f>INDEX('Fee Calc'!L:L,MATCH(C:C,'Fee Calc'!F:F,0))</f>
        <v>4354796.6509874314</v>
      </c>
      <c r="K64" s="45">
        <f t="shared" si="3"/>
        <v>14378192.105436038</v>
      </c>
      <c r="L64" s="45">
        <v>-1803774.56</v>
      </c>
      <c r="M64" s="45">
        <v>611522.24</v>
      </c>
      <c r="N64" s="45">
        <f t="shared" si="4"/>
        <v>-1192252.32</v>
      </c>
      <c r="O64" s="45">
        <v>2932097.0968230302</v>
      </c>
      <c r="P64" s="45">
        <v>4071560.2441925067</v>
      </c>
      <c r="Q64" s="45">
        <f t="shared" si="5"/>
        <v>7003657.3410155363</v>
      </c>
      <c r="R64" s="45" t="str">
        <f t="shared" si="6"/>
        <v>Yes</v>
      </c>
      <c r="S64" s="46" t="str">
        <f t="shared" si="7"/>
        <v>Yes</v>
      </c>
      <c r="T64" s="47">
        <f>ROUND(INDEX(Summary!H:H,MATCH(H:H,Summary!A:A,0)),2)</f>
        <v>0</v>
      </c>
      <c r="U64" s="47">
        <f>ROUND(INDEX(Summary!I:I,MATCH(H:H,Summary!A:A,0)),2)</f>
        <v>0.05</v>
      </c>
      <c r="V64" s="81">
        <f t="shared" si="8"/>
        <v>0</v>
      </c>
      <c r="W64" s="81">
        <f t="shared" si="9"/>
        <v>217739.83254937158</v>
      </c>
      <c r="X64" s="45">
        <f t="shared" si="10"/>
        <v>217739.83254937158</v>
      </c>
      <c r="Y64" s="45" t="s">
        <v>2752</v>
      </c>
      <c r="Z64" s="45" t="str">
        <f t="shared" si="11"/>
        <v>Yes</v>
      </c>
      <c r="AA64" s="45" t="str">
        <f t="shared" si="12"/>
        <v>Yes</v>
      </c>
      <c r="AB64" s="45" t="str">
        <f t="shared" si="13"/>
        <v>Yes</v>
      </c>
      <c r="AC64" s="82">
        <f t="shared" si="24"/>
        <v>0.2</v>
      </c>
      <c r="AD64" s="82">
        <f t="shared" si="25"/>
        <v>0.62</v>
      </c>
      <c r="AE64" s="45">
        <f t="shared" si="26"/>
        <v>2004679.0908897214</v>
      </c>
      <c r="AF64" s="45">
        <f t="shared" si="14"/>
        <v>2699973.9236122076</v>
      </c>
      <c r="AG64" s="45">
        <f t="shared" si="15"/>
        <v>4704653.0145019293</v>
      </c>
      <c r="AH64" s="47">
        <f>IFERROR(ROUNDDOWN(INDEX('90% of ACR'!K:K,MATCH(H:H,'90% of ACR'!A:A,0))*IF(I64&gt;0,IF(O64&gt;0,$R$4*MAX(O64-V64,0),0),0)/I64,2),0)</f>
        <v>0.2</v>
      </c>
      <c r="AI64" s="82">
        <f>IFERROR(ROUNDDOWN(INDEX('90% of ACR'!R:R,MATCH(H:H,'90% of ACR'!A:A,0))*IF(J64&gt;0,IF(P64&gt;0,$R$4*MAX(P64-W64,0),0),0)/J64,2),0)</f>
        <v>0.61</v>
      </c>
      <c r="AJ64" s="45">
        <f t="shared" si="16"/>
        <v>2004679.0908897214</v>
      </c>
      <c r="AK64" s="45">
        <f t="shared" si="17"/>
        <v>2656425.9571023332</v>
      </c>
      <c r="AL64" s="47">
        <f t="shared" si="18"/>
        <v>0.2</v>
      </c>
      <c r="AM64" s="47">
        <f t="shared" si="19"/>
        <v>0.66</v>
      </c>
      <c r="AN64" s="83">
        <f>IFERROR(INDEX('Fee Calc'!P:P,MATCH(C64,'Fee Calc'!F:F,0)),0)</f>
        <v>4878844.8805414261</v>
      </c>
      <c r="AO64" s="83">
        <f>IFERROR(INDEX('Fee Calc'!Q:Q,MATCH(C64,'Fee Calc'!F:F,0)),0)</f>
        <v>299586.43302690069</v>
      </c>
      <c r="AP64" s="83">
        <f t="shared" si="20"/>
        <v>5178431.3135683266</v>
      </c>
      <c r="AQ64" s="70">
        <f t="shared" si="21"/>
        <v>2211355.8806957095</v>
      </c>
      <c r="AR64" s="70">
        <f t="shared" si="22"/>
        <v>1105677.9403478547</v>
      </c>
      <c r="AS64" s="70">
        <f t="shared" si="23"/>
        <v>1105677.9403478547</v>
      </c>
    </row>
    <row r="65" spans="1:45">
      <c r="A65" s="104" t="s">
        <v>792</v>
      </c>
      <c r="B65" s="124" t="s">
        <v>792</v>
      </c>
      <c r="C65" s="31" t="s">
        <v>793</v>
      </c>
      <c r="D65" s="125" t="s">
        <v>793</v>
      </c>
      <c r="E65" s="119" t="s">
        <v>2559</v>
      </c>
      <c r="F65" s="100" t="s">
        <v>2279</v>
      </c>
      <c r="G65" s="100" t="s">
        <v>1514</v>
      </c>
      <c r="H65" s="43" t="str">
        <f t="shared" si="2"/>
        <v>Urban Hidalgo</v>
      </c>
      <c r="I65" s="45">
        <f>INDEX('Fee Calc'!M:M,MATCH(C:C,'Fee Calc'!F:F,0))</f>
        <v>10782350.972475957</v>
      </c>
      <c r="J65" s="45">
        <f>INDEX('Fee Calc'!L:L,MATCH(C:C,'Fee Calc'!F:F,0))</f>
        <v>10843566.60793028</v>
      </c>
      <c r="K65" s="45">
        <f t="shared" si="3"/>
        <v>21625917.580406237</v>
      </c>
      <c r="L65" s="45">
        <v>2561384.37</v>
      </c>
      <c r="M65" s="45">
        <v>3483310.99</v>
      </c>
      <c r="N65" s="45">
        <f t="shared" si="4"/>
        <v>6044695.3600000003</v>
      </c>
      <c r="O65" s="45">
        <v>9250959.2173947915</v>
      </c>
      <c r="P65" s="45">
        <v>8091399.613111591</v>
      </c>
      <c r="Q65" s="45">
        <f t="shared" si="5"/>
        <v>17342358.830506384</v>
      </c>
      <c r="R65" s="45" t="str">
        <f t="shared" si="6"/>
        <v>Yes</v>
      </c>
      <c r="S65" s="46" t="str">
        <f t="shared" si="7"/>
        <v>Yes</v>
      </c>
      <c r="T65" s="47">
        <f>ROUND(INDEX(Summary!H:H,MATCH(H:H,Summary!A:A,0)),2)</f>
        <v>0.63</v>
      </c>
      <c r="U65" s="47">
        <f>ROUND(INDEX(Summary!I:I,MATCH(H:H,Summary!A:A,0)),2)</f>
        <v>0.48</v>
      </c>
      <c r="V65" s="81">
        <f t="shared" si="8"/>
        <v>6792881.112659853</v>
      </c>
      <c r="W65" s="81">
        <f t="shared" si="9"/>
        <v>5204911.9718065346</v>
      </c>
      <c r="X65" s="45">
        <f t="shared" si="10"/>
        <v>11997793.084466387</v>
      </c>
      <c r="Y65" s="45" t="s">
        <v>2752</v>
      </c>
      <c r="Z65" s="45" t="str">
        <f t="shared" si="11"/>
        <v>Yes</v>
      </c>
      <c r="AA65" s="45" t="str">
        <f t="shared" si="12"/>
        <v>Yes</v>
      </c>
      <c r="AB65" s="45" t="str">
        <f t="shared" si="13"/>
        <v>Yes</v>
      </c>
      <c r="AC65" s="82">
        <f t="shared" si="24"/>
        <v>0.16</v>
      </c>
      <c r="AD65" s="82">
        <f t="shared" si="25"/>
        <v>0.19</v>
      </c>
      <c r="AE65" s="45">
        <f t="shared" si="26"/>
        <v>1725176.1555961531</v>
      </c>
      <c r="AF65" s="45">
        <f t="shared" si="14"/>
        <v>2060277.6555067534</v>
      </c>
      <c r="AG65" s="45">
        <f t="shared" si="15"/>
        <v>3785453.8111029062</v>
      </c>
      <c r="AH65" s="47">
        <f>IFERROR(ROUNDDOWN(INDEX('90% of ACR'!K:K,MATCH(H:H,'90% of ACR'!A:A,0))*IF(I65&gt;0,IF(O65&gt;0,$R$4*MAX(O65-V65,0),0),0)/I65,2),0)</f>
        <v>0.15</v>
      </c>
      <c r="AI65" s="82">
        <f>IFERROR(ROUNDDOWN(INDEX('90% of ACR'!R:R,MATCH(H:H,'90% of ACR'!A:A,0))*IF(J65&gt;0,IF(P65&gt;0,$R$4*MAX(P65-W65,0),0),0)/J65,2),0)</f>
        <v>0.17</v>
      </c>
      <c r="AJ65" s="45">
        <f t="shared" si="16"/>
        <v>1617352.6458713936</v>
      </c>
      <c r="AK65" s="45">
        <f t="shared" si="17"/>
        <v>1843406.3233481478</v>
      </c>
      <c r="AL65" s="47">
        <f t="shared" si="18"/>
        <v>0.78</v>
      </c>
      <c r="AM65" s="47">
        <f t="shared" si="19"/>
        <v>0.65</v>
      </c>
      <c r="AN65" s="83">
        <f>IFERROR(INDEX('Fee Calc'!P:P,MATCH(C65,'Fee Calc'!F:F,0)),0)</f>
        <v>15458552.05368593</v>
      </c>
      <c r="AO65" s="83">
        <f>IFERROR(INDEX('Fee Calc'!Q:Q,MATCH(C65,'Fee Calc'!F:F,0)),0)</f>
        <v>949142.87757980754</v>
      </c>
      <c r="AP65" s="83">
        <f t="shared" si="20"/>
        <v>16407694.931265738</v>
      </c>
      <c r="AQ65" s="70">
        <f t="shared" si="21"/>
        <v>7006610.7818882708</v>
      </c>
      <c r="AR65" s="70">
        <f t="shared" si="22"/>
        <v>3503305.3909441354</v>
      </c>
      <c r="AS65" s="70">
        <f t="shared" si="23"/>
        <v>3503305.3909441354</v>
      </c>
    </row>
    <row r="66" spans="1:45">
      <c r="A66" s="104" t="s">
        <v>1563</v>
      </c>
      <c r="B66" s="124" t="s">
        <v>1563</v>
      </c>
      <c r="C66" s="31" t="s">
        <v>1646</v>
      </c>
      <c r="D66" s="125" t="s">
        <v>1646</v>
      </c>
      <c r="E66" s="119" t="s">
        <v>2560</v>
      </c>
      <c r="F66" s="100" t="s">
        <v>2279</v>
      </c>
      <c r="G66" s="100" t="s">
        <v>1526</v>
      </c>
      <c r="H66" s="43" t="str">
        <f t="shared" si="2"/>
        <v>Urban Lubbock</v>
      </c>
      <c r="I66" s="45">
        <f>INDEX('Fee Calc'!M:M,MATCH(C:C,'Fee Calc'!F:F,0))</f>
        <v>23865708.877629526</v>
      </c>
      <c r="J66" s="45">
        <f>INDEX('Fee Calc'!L:L,MATCH(C:C,'Fee Calc'!F:F,0))</f>
        <v>13784935.717856523</v>
      </c>
      <c r="K66" s="45">
        <f t="shared" si="3"/>
        <v>37650644.595486045</v>
      </c>
      <c r="L66" s="45">
        <v>9067886.5600000005</v>
      </c>
      <c r="M66" s="45">
        <v>3299667.74</v>
      </c>
      <c r="N66" s="45">
        <f t="shared" si="4"/>
        <v>12367554.300000001</v>
      </c>
      <c r="O66" s="45">
        <v>20800035.377380669</v>
      </c>
      <c r="P66" s="45">
        <v>5264263.6132540544</v>
      </c>
      <c r="Q66" s="45">
        <f t="shared" si="5"/>
        <v>26064298.990634724</v>
      </c>
      <c r="R66" s="45" t="str">
        <f t="shared" si="6"/>
        <v>Yes</v>
      </c>
      <c r="S66" s="46" t="str">
        <f t="shared" si="7"/>
        <v>Yes</v>
      </c>
      <c r="T66" s="47">
        <f>ROUND(INDEX(Summary!H:H,MATCH(H:H,Summary!A:A,0)),2)</f>
        <v>0</v>
      </c>
      <c r="U66" s="47">
        <f>ROUND(INDEX(Summary!I:I,MATCH(H:H,Summary!A:A,0)),2)</f>
        <v>0.61</v>
      </c>
      <c r="V66" s="81">
        <f t="shared" si="8"/>
        <v>0</v>
      </c>
      <c r="W66" s="81">
        <f t="shared" si="9"/>
        <v>8408810.7878924794</v>
      </c>
      <c r="X66" s="45">
        <f t="shared" si="10"/>
        <v>8408810.7878924794</v>
      </c>
      <c r="Y66" s="45" t="s">
        <v>2752</v>
      </c>
      <c r="Z66" s="45" t="str">
        <f t="shared" si="11"/>
        <v>Yes</v>
      </c>
      <c r="AA66" s="45" t="str">
        <f t="shared" si="12"/>
        <v>No</v>
      </c>
      <c r="AB66" s="45" t="str">
        <f t="shared" si="13"/>
        <v>Yes</v>
      </c>
      <c r="AC66" s="82">
        <f t="shared" si="24"/>
        <v>0.61</v>
      </c>
      <c r="AD66" s="82">
        <f t="shared" si="25"/>
        <v>0</v>
      </c>
      <c r="AE66" s="45">
        <f t="shared" si="26"/>
        <v>14558082.41535401</v>
      </c>
      <c r="AF66" s="45">
        <f t="shared" si="14"/>
        <v>0</v>
      </c>
      <c r="AG66" s="45">
        <f t="shared" si="15"/>
        <v>14558082.41535401</v>
      </c>
      <c r="AH66" s="47">
        <f>IFERROR(ROUNDDOWN(INDEX('90% of ACR'!K:K,MATCH(H:H,'90% of ACR'!A:A,0))*IF(I66&gt;0,IF(O66&gt;0,$R$4*MAX(O66-V66,0),0),0)/I66,2),0)</f>
        <v>0.22</v>
      </c>
      <c r="AI66" s="82">
        <f>IFERROR(ROUNDDOWN(INDEX('90% of ACR'!R:R,MATCH(H:H,'90% of ACR'!A:A,0))*IF(J66&gt;0,IF(P66&gt;0,$R$4*MAX(P66-W66,0),0),0)/J66,2),0)</f>
        <v>0</v>
      </c>
      <c r="AJ66" s="45">
        <f t="shared" si="16"/>
        <v>5250455.9530784953</v>
      </c>
      <c r="AK66" s="45">
        <f t="shared" si="17"/>
        <v>0</v>
      </c>
      <c r="AL66" s="47">
        <f t="shared" si="18"/>
        <v>0.22</v>
      </c>
      <c r="AM66" s="47">
        <f t="shared" si="19"/>
        <v>0.61</v>
      </c>
      <c r="AN66" s="83">
        <f>IFERROR(INDEX('Fee Calc'!P:P,MATCH(C66,'Fee Calc'!F:F,0)),0)</f>
        <v>13659266.740970975</v>
      </c>
      <c r="AO66" s="83">
        <f>IFERROR(INDEX('Fee Calc'!Q:Q,MATCH(C66,'Fee Calc'!F:F,0)),0)</f>
        <v>839039.90034884517</v>
      </c>
      <c r="AP66" s="83">
        <f t="shared" si="20"/>
        <v>14498306.641319821</v>
      </c>
      <c r="AQ66" s="70">
        <f t="shared" si="21"/>
        <v>6191240.8816560851</v>
      </c>
      <c r="AR66" s="70">
        <f t="shared" si="22"/>
        <v>3095620.4408280426</v>
      </c>
      <c r="AS66" s="70">
        <f t="shared" si="23"/>
        <v>3095620.4408280426</v>
      </c>
    </row>
    <row r="67" spans="1:45">
      <c r="A67" s="104" t="s">
        <v>1551</v>
      </c>
      <c r="B67" s="124" t="s">
        <v>1551</v>
      </c>
      <c r="C67" s="31" t="s">
        <v>1613</v>
      </c>
      <c r="D67" s="125" t="s">
        <v>1613</v>
      </c>
      <c r="E67" s="119" t="s">
        <v>2561</v>
      </c>
      <c r="F67" s="100" t="s">
        <v>2279</v>
      </c>
      <c r="G67" s="100" t="s">
        <v>1514</v>
      </c>
      <c r="H67" s="43" t="str">
        <f t="shared" si="2"/>
        <v>Urban Hidalgo</v>
      </c>
      <c r="I67" s="45">
        <f>INDEX('Fee Calc'!M:M,MATCH(C:C,'Fee Calc'!F:F,0))</f>
        <v>25347616.207609847</v>
      </c>
      <c r="J67" s="45">
        <f>INDEX('Fee Calc'!L:L,MATCH(C:C,'Fee Calc'!F:F,0))</f>
        <v>24147421.730666388</v>
      </c>
      <c r="K67" s="45">
        <f t="shared" si="3"/>
        <v>49495037.938276231</v>
      </c>
      <c r="L67" s="45">
        <v>16601222.4</v>
      </c>
      <c r="M67" s="45">
        <v>7760593.9500000002</v>
      </c>
      <c r="N67" s="45">
        <f t="shared" si="4"/>
        <v>24361816.350000001</v>
      </c>
      <c r="O67" s="45">
        <v>47080784.696972758</v>
      </c>
      <c r="P67" s="45">
        <v>27946476.441629499</v>
      </c>
      <c r="Q67" s="45">
        <f t="shared" si="5"/>
        <v>75027261.138602257</v>
      </c>
      <c r="R67" s="45" t="str">
        <f t="shared" si="6"/>
        <v>Yes</v>
      </c>
      <c r="S67" s="46" t="str">
        <f t="shared" si="7"/>
        <v>Yes</v>
      </c>
      <c r="T67" s="47">
        <f>ROUND(INDEX(Summary!H:H,MATCH(H:H,Summary!A:A,0)),2)</f>
        <v>0.63</v>
      </c>
      <c r="U67" s="47">
        <f>ROUND(INDEX(Summary!I:I,MATCH(H:H,Summary!A:A,0)),2)</f>
        <v>0.48</v>
      </c>
      <c r="V67" s="81">
        <f t="shared" si="8"/>
        <v>15968998.210794203</v>
      </c>
      <c r="W67" s="81">
        <f t="shared" si="9"/>
        <v>11590762.430719865</v>
      </c>
      <c r="X67" s="45">
        <f t="shared" si="10"/>
        <v>27559760.64151407</v>
      </c>
      <c r="Y67" s="45" t="s">
        <v>2752</v>
      </c>
      <c r="Z67" s="45" t="str">
        <f t="shared" si="11"/>
        <v>Yes</v>
      </c>
      <c r="AA67" s="45" t="str">
        <f t="shared" si="12"/>
        <v>Yes</v>
      </c>
      <c r="AB67" s="45" t="str">
        <f t="shared" si="13"/>
        <v>Yes</v>
      </c>
      <c r="AC67" s="82">
        <f t="shared" si="24"/>
        <v>0.86</v>
      </c>
      <c r="AD67" s="82">
        <f t="shared" si="25"/>
        <v>0.47</v>
      </c>
      <c r="AE67" s="45">
        <f t="shared" si="26"/>
        <v>21798949.938544467</v>
      </c>
      <c r="AF67" s="45">
        <f t="shared" si="14"/>
        <v>11349288.213413201</v>
      </c>
      <c r="AG67" s="45">
        <f t="shared" si="15"/>
        <v>33148238.151957668</v>
      </c>
      <c r="AH67" s="47">
        <f>IFERROR(ROUNDDOWN(INDEX('90% of ACR'!K:K,MATCH(H:H,'90% of ACR'!A:A,0))*IF(I67&gt;0,IF(O67&gt;0,$R$4*MAX(O67-V67,0),0),0)/I67,2),0)</f>
        <v>0.85</v>
      </c>
      <c r="AI67" s="82">
        <f>IFERROR(ROUNDDOWN(INDEX('90% of ACR'!R:R,MATCH(H:H,'90% of ACR'!A:A,0))*IF(J67&gt;0,IF(P67&gt;0,$R$4*MAX(P67-W67,0),0),0)/J67,2),0)</f>
        <v>0.45</v>
      </c>
      <c r="AJ67" s="45">
        <f t="shared" si="16"/>
        <v>21545473.77646837</v>
      </c>
      <c r="AK67" s="45">
        <f t="shared" si="17"/>
        <v>10866339.778799875</v>
      </c>
      <c r="AL67" s="47">
        <f t="shared" si="18"/>
        <v>1.48</v>
      </c>
      <c r="AM67" s="47">
        <f t="shared" si="19"/>
        <v>0.92999999999999994</v>
      </c>
      <c r="AN67" s="83">
        <f>IFERROR(INDEX('Fee Calc'!P:P,MATCH(C67,'Fee Calc'!F:F,0)),0)</f>
        <v>59971574.196782321</v>
      </c>
      <c r="AO67" s="83">
        <f>IFERROR(INDEX('Fee Calc'!Q:Q,MATCH(C67,'Fee Calc'!F:F,0)),0)</f>
        <v>3688690.6174847325</v>
      </c>
      <c r="AP67" s="83">
        <f t="shared" si="20"/>
        <v>63660264.814267054</v>
      </c>
      <c r="AQ67" s="70">
        <f t="shared" si="21"/>
        <v>27184970.204166088</v>
      </c>
      <c r="AR67" s="70">
        <f t="shared" si="22"/>
        <v>13592485.102083044</v>
      </c>
      <c r="AS67" s="70">
        <f t="shared" si="23"/>
        <v>13592485.102083044</v>
      </c>
    </row>
    <row r="68" spans="1:45">
      <c r="A68" s="104" t="s">
        <v>1566</v>
      </c>
      <c r="B68" s="124" t="s">
        <v>1566</v>
      </c>
      <c r="C68" s="31" t="s">
        <v>1590</v>
      </c>
      <c r="D68" s="125" t="s">
        <v>1590</v>
      </c>
      <c r="E68" s="119" t="s">
        <v>2562</v>
      </c>
      <c r="F68" s="100" t="s">
        <v>2279</v>
      </c>
      <c r="G68" s="100" t="s">
        <v>310</v>
      </c>
      <c r="H68" s="43" t="str">
        <f t="shared" si="2"/>
        <v>Urban MRSA Northeast</v>
      </c>
      <c r="I68" s="45">
        <f>INDEX('Fee Calc'!M:M,MATCH(C:C,'Fee Calc'!F:F,0))</f>
        <v>8757319.2635942064</v>
      </c>
      <c r="J68" s="45">
        <f>INDEX('Fee Calc'!L:L,MATCH(C:C,'Fee Calc'!F:F,0))</f>
        <v>4727210.7178047961</v>
      </c>
      <c r="K68" s="45">
        <f t="shared" si="3"/>
        <v>13484529.981399003</v>
      </c>
      <c r="L68" s="45">
        <v>4811976.87</v>
      </c>
      <c r="M68" s="45">
        <v>2484451.17</v>
      </c>
      <c r="N68" s="45">
        <f t="shared" si="4"/>
        <v>7296428.04</v>
      </c>
      <c r="O68" s="45">
        <v>15728706.514511261</v>
      </c>
      <c r="P68" s="45">
        <v>4566887.8088462623</v>
      </c>
      <c r="Q68" s="45">
        <f t="shared" si="5"/>
        <v>20295594.323357522</v>
      </c>
      <c r="R68" s="45" t="str">
        <f t="shared" si="6"/>
        <v>Yes</v>
      </c>
      <c r="S68" s="46" t="str">
        <f t="shared" si="7"/>
        <v>Yes</v>
      </c>
      <c r="T68" s="47">
        <f>ROUND(INDEX(Summary!H:H,MATCH(H:H,Summary!A:A,0)),2)</f>
        <v>0.6</v>
      </c>
      <c r="U68" s="47">
        <f>ROUND(INDEX(Summary!I:I,MATCH(H:H,Summary!A:A,0)),2)</f>
        <v>0.99</v>
      </c>
      <c r="V68" s="81">
        <f t="shared" si="8"/>
        <v>5254391.5581565239</v>
      </c>
      <c r="W68" s="81">
        <f t="shared" si="9"/>
        <v>4679938.6106267478</v>
      </c>
      <c r="X68" s="45">
        <f t="shared" si="10"/>
        <v>9934330.1687832717</v>
      </c>
      <c r="Y68" s="45" t="s">
        <v>2752</v>
      </c>
      <c r="Z68" s="45" t="str">
        <f t="shared" si="11"/>
        <v>Yes</v>
      </c>
      <c r="AA68" s="45" t="str">
        <f t="shared" si="12"/>
        <v>No</v>
      </c>
      <c r="AB68" s="45" t="str">
        <f t="shared" si="13"/>
        <v>Yes</v>
      </c>
      <c r="AC68" s="82">
        <f t="shared" si="24"/>
        <v>0.83</v>
      </c>
      <c r="AD68" s="82">
        <f t="shared" si="25"/>
        <v>0</v>
      </c>
      <c r="AE68" s="45">
        <f t="shared" si="26"/>
        <v>7268574.988783191</v>
      </c>
      <c r="AF68" s="45">
        <f t="shared" si="14"/>
        <v>0</v>
      </c>
      <c r="AG68" s="45">
        <f t="shared" si="15"/>
        <v>7268574.988783191</v>
      </c>
      <c r="AH68" s="47">
        <f>IFERROR(ROUNDDOWN(INDEX('90% of ACR'!K:K,MATCH(H:H,'90% of ACR'!A:A,0))*IF(I68&gt;0,IF(O68&gt;0,$R$4*MAX(O68-V68,0),0),0)/I68,2),0)</f>
        <v>0.83</v>
      </c>
      <c r="AI68" s="82">
        <f>IFERROR(ROUNDDOWN(INDEX('90% of ACR'!R:R,MATCH(H:H,'90% of ACR'!A:A,0))*IF(J68&gt;0,IF(P68&gt;0,$R$4*MAX(P68-W68,0),0),0)/J68,2),0)</f>
        <v>0</v>
      </c>
      <c r="AJ68" s="45">
        <f t="shared" si="16"/>
        <v>7268574.988783191</v>
      </c>
      <c r="AK68" s="45">
        <f t="shared" si="17"/>
        <v>0</v>
      </c>
      <c r="AL68" s="47">
        <f t="shared" si="18"/>
        <v>1.43</v>
      </c>
      <c r="AM68" s="47">
        <f t="shared" si="19"/>
        <v>0.99</v>
      </c>
      <c r="AN68" s="83">
        <f>IFERROR(INDEX('Fee Calc'!P:P,MATCH(C68,'Fee Calc'!F:F,0)),0)</f>
        <v>17202905.157566462</v>
      </c>
      <c r="AO68" s="83">
        <f>IFERROR(INDEX('Fee Calc'!Q:Q,MATCH(C68,'Fee Calc'!F:F,0)),0)</f>
        <v>1069564.4978328906</v>
      </c>
      <c r="AP68" s="83">
        <f t="shared" si="20"/>
        <v>18272469.655399352</v>
      </c>
      <c r="AQ68" s="70">
        <f t="shared" si="21"/>
        <v>7802929.2618844965</v>
      </c>
      <c r="AR68" s="70">
        <f t="shared" si="22"/>
        <v>3901464.6309422483</v>
      </c>
      <c r="AS68" s="70">
        <f t="shared" si="23"/>
        <v>3901464.6309422483</v>
      </c>
    </row>
    <row r="69" spans="1:45">
      <c r="A69" s="104" t="s">
        <v>662</v>
      </c>
      <c r="B69" s="124" t="s">
        <v>662</v>
      </c>
      <c r="C69" s="31" t="s">
        <v>663</v>
      </c>
      <c r="D69" s="125" t="s">
        <v>663</v>
      </c>
      <c r="E69" s="119" t="s">
        <v>2563</v>
      </c>
      <c r="F69" s="100" t="s">
        <v>2279</v>
      </c>
      <c r="G69" s="100" t="s">
        <v>1514</v>
      </c>
      <c r="H69" s="43" t="str">
        <f t="shared" si="2"/>
        <v>Urban Hidalgo</v>
      </c>
      <c r="I69" s="45">
        <f>INDEX('Fee Calc'!M:M,MATCH(C:C,'Fee Calc'!F:F,0))</f>
        <v>268182.38015221152</v>
      </c>
      <c r="J69" s="45">
        <f>INDEX('Fee Calc'!L:L,MATCH(C:C,'Fee Calc'!F:F,0))</f>
        <v>671450.30149678641</v>
      </c>
      <c r="K69" s="45">
        <f t="shared" si="3"/>
        <v>939632.68164899794</v>
      </c>
      <c r="L69" s="45">
        <v>91669.11</v>
      </c>
      <c r="M69" s="45">
        <v>526014.75</v>
      </c>
      <c r="N69" s="45">
        <f t="shared" si="4"/>
        <v>617683.86</v>
      </c>
      <c r="O69" s="45">
        <v>182723.77120933749</v>
      </c>
      <c r="P69" s="45">
        <v>556727.6836754824</v>
      </c>
      <c r="Q69" s="45">
        <f t="shared" si="5"/>
        <v>739451.45488481992</v>
      </c>
      <c r="R69" s="45" t="str">
        <f t="shared" si="6"/>
        <v>Yes</v>
      </c>
      <c r="S69" s="46" t="str">
        <f t="shared" si="7"/>
        <v>Yes</v>
      </c>
      <c r="T69" s="47">
        <f>ROUND(INDEX(Summary!H:H,MATCH(H:H,Summary!A:A,0)),2)</f>
        <v>0.63</v>
      </c>
      <c r="U69" s="47">
        <f>ROUND(INDEX(Summary!I:I,MATCH(H:H,Summary!A:A,0)),2)</f>
        <v>0.48</v>
      </c>
      <c r="V69" s="81">
        <f t="shared" si="8"/>
        <v>168954.89949589327</v>
      </c>
      <c r="W69" s="81">
        <f t="shared" si="9"/>
        <v>322296.14471845748</v>
      </c>
      <c r="X69" s="45">
        <f t="shared" si="10"/>
        <v>491251.04421435075</v>
      </c>
      <c r="Y69" s="45" t="s">
        <v>2752</v>
      </c>
      <c r="Z69" s="45" t="str">
        <f t="shared" si="11"/>
        <v>Yes</v>
      </c>
      <c r="AA69" s="45" t="str">
        <f t="shared" si="12"/>
        <v>Yes</v>
      </c>
      <c r="AB69" s="45" t="str">
        <f t="shared" si="13"/>
        <v>Yes</v>
      </c>
      <c r="AC69" s="82">
        <f t="shared" si="24"/>
        <v>0.04</v>
      </c>
      <c r="AD69" s="82">
        <f t="shared" si="25"/>
        <v>0.24</v>
      </c>
      <c r="AE69" s="45">
        <f t="shared" si="26"/>
        <v>10727.295206088462</v>
      </c>
      <c r="AF69" s="45">
        <f t="shared" si="14"/>
        <v>161148.07235922874</v>
      </c>
      <c r="AG69" s="45">
        <f t="shared" si="15"/>
        <v>171875.3675653172</v>
      </c>
      <c r="AH69" s="47">
        <f>IFERROR(ROUNDDOWN(INDEX('90% of ACR'!K:K,MATCH(H:H,'90% of ACR'!A:A,0))*IF(I69&gt;0,IF(O69&gt;0,$R$4*MAX(O69-V69,0),0),0)/I69,2),0)</f>
        <v>0.03</v>
      </c>
      <c r="AI69" s="82">
        <f>IFERROR(ROUNDDOWN(INDEX('90% of ACR'!R:R,MATCH(H:H,'90% of ACR'!A:A,0))*IF(J69&gt;0,IF(P69&gt;0,$R$4*MAX(P69-W69,0),0),0)/J69,2),0)</f>
        <v>0.23</v>
      </c>
      <c r="AJ69" s="45">
        <f t="shared" si="16"/>
        <v>8045.4714045663459</v>
      </c>
      <c r="AK69" s="45">
        <f t="shared" si="17"/>
        <v>154433.56934426088</v>
      </c>
      <c r="AL69" s="47">
        <f t="shared" si="18"/>
        <v>0.66</v>
      </c>
      <c r="AM69" s="47">
        <f t="shared" si="19"/>
        <v>0.71</v>
      </c>
      <c r="AN69" s="83">
        <f>IFERROR(INDEX('Fee Calc'!P:P,MATCH(C69,'Fee Calc'!F:F,0)),0)</f>
        <v>653730.08496317791</v>
      </c>
      <c r="AO69" s="83">
        <f>IFERROR(INDEX('Fee Calc'!Q:Q,MATCH(C69,'Fee Calc'!F:F,0)),0)</f>
        <v>40317.497173162177</v>
      </c>
      <c r="AP69" s="83">
        <f t="shared" si="20"/>
        <v>694047.58213634009</v>
      </c>
      <c r="AQ69" s="70">
        <f t="shared" si="21"/>
        <v>296380.52709484554</v>
      </c>
      <c r="AR69" s="70">
        <f t="shared" si="22"/>
        <v>148190.26354742277</v>
      </c>
      <c r="AS69" s="70">
        <f t="shared" si="23"/>
        <v>148190.26354742277</v>
      </c>
    </row>
    <row r="70" spans="1:45">
      <c r="A70" s="104" t="s">
        <v>137</v>
      </c>
      <c r="B70" s="124" t="s">
        <v>137</v>
      </c>
      <c r="C70" s="31" t="s">
        <v>138</v>
      </c>
      <c r="D70" s="125" t="s">
        <v>138</v>
      </c>
      <c r="E70" s="119" t="s">
        <v>2564</v>
      </c>
      <c r="F70" s="100" t="s">
        <v>2291</v>
      </c>
      <c r="G70" s="100" t="s">
        <v>310</v>
      </c>
      <c r="H70" s="43" t="str">
        <f t="shared" ref="H70:H132" si="27">CONCATENATE(F70," ",G70)</f>
        <v>Rural MRSA Northeast</v>
      </c>
      <c r="I70" s="45">
        <f>INDEX('Fee Calc'!M:M,MATCH(C:C,'Fee Calc'!F:F,0))</f>
        <v>94599.239869561279</v>
      </c>
      <c r="J70" s="45">
        <f>INDEX('Fee Calc'!L:L,MATCH(C:C,'Fee Calc'!F:F,0))</f>
        <v>674502.75256959652</v>
      </c>
      <c r="K70" s="45">
        <f t="shared" ref="K70:K132" si="28">I70+J70</f>
        <v>769101.9924391578</v>
      </c>
      <c r="L70" s="45">
        <v>159.38999999999999</v>
      </c>
      <c r="M70" s="45">
        <v>-51317.25</v>
      </c>
      <c r="N70" s="45">
        <f t="shared" ref="N70:N132" si="29">+L70+M70</f>
        <v>-51157.86</v>
      </c>
      <c r="O70" s="45">
        <v>83057.379048866234</v>
      </c>
      <c r="P70" s="45">
        <v>182815.90509024679</v>
      </c>
      <c r="Q70" s="45">
        <f t="shared" ref="Q70:Q132" si="30">O70+P70</f>
        <v>265873.28413911304</v>
      </c>
      <c r="R70" s="45" t="str">
        <f t="shared" ref="R70:S132" si="31">IF(O70&gt;0,"Yes","No")</f>
        <v>Yes</v>
      </c>
      <c r="S70" s="46" t="str">
        <f t="shared" si="31"/>
        <v>Yes</v>
      </c>
      <c r="T70" s="47">
        <f>ROUND(INDEX(Summary!H:H,MATCH(H:H,Summary!A:A,0)),2)</f>
        <v>0</v>
      </c>
      <c r="U70" s="47">
        <f>ROUND(INDEX(Summary!I:I,MATCH(H:H,Summary!A:A,0)),2)</f>
        <v>0.3</v>
      </c>
      <c r="V70" s="81">
        <f t="shared" ref="V70:W132" si="32">+T70*I70</f>
        <v>0</v>
      </c>
      <c r="W70" s="81">
        <f t="shared" si="32"/>
        <v>202350.82577087896</v>
      </c>
      <c r="X70" s="45">
        <f t="shared" ref="X70:X132" si="33">+V70+W70</f>
        <v>202350.82577087896</v>
      </c>
      <c r="Y70" s="45" t="s">
        <v>2752</v>
      </c>
      <c r="Z70" s="45" t="str">
        <f t="shared" ref="Z70:AA132" si="34">IF(AJ70&gt;0,"Yes","No")</f>
        <v>Yes</v>
      </c>
      <c r="AA70" s="45" t="str">
        <f t="shared" si="34"/>
        <v>No</v>
      </c>
      <c r="AB70" s="45" t="str">
        <f t="shared" ref="AB70:AB132" si="35">IF(AG70&gt;0,"Yes","No")</f>
        <v>Yes</v>
      </c>
      <c r="AC70" s="82">
        <f t="shared" ref="AC70:AD132" si="36">IFERROR(ROUND(IF(I70&gt;0,IF(O70&gt;0,$R$4*MAX(O70-V70,0),0),0)/I70,2),0)</f>
        <v>0.61</v>
      </c>
      <c r="AD70" s="82">
        <f t="shared" si="36"/>
        <v>0</v>
      </c>
      <c r="AE70" s="45">
        <f t="shared" ref="AE70:AF132" si="37">AC70*I70</f>
        <v>57705.53632043238</v>
      </c>
      <c r="AF70" s="45">
        <f t="shared" si="37"/>
        <v>0</v>
      </c>
      <c r="AG70" s="45">
        <f t="shared" ref="AG70:AG132" si="38">AE70+AF70</f>
        <v>57705.53632043238</v>
      </c>
      <c r="AH70" s="47">
        <f>IFERROR(ROUNDDOWN(INDEX('90% of ACR'!K:K,MATCH(H:H,'90% of ACR'!A:A,0))*IF(I70&gt;0,IF(O70&gt;0,$R$4*MAX(O70-V70,0),0),0)/I70,2),0)</f>
        <v>0.41</v>
      </c>
      <c r="AI70" s="82">
        <f>IFERROR(ROUNDDOWN(INDEX('90% of ACR'!R:R,MATCH(H:H,'90% of ACR'!A:A,0))*IF(J70&gt;0,IF(P70&gt;0,$R$4*MAX(P70-W70,0),0),0)/J70,2),0)</f>
        <v>0</v>
      </c>
      <c r="AJ70" s="45">
        <f t="shared" ref="AJ70:AK132" si="39">I70*AH70</f>
        <v>38785.688346520124</v>
      </c>
      <c r="AK70" s="45">
        <f t="shared" si="39"/>
        <v>0</v>
      </c>
      <c r="AL70" s="47">
        <f t="shared" ref="AL70:AM132" si="40">T70+AH70</f>
        <v>0.41</v>
      </c>
      <c r="AM70" s="47">
        <f t="shared" si="40"/>
        <v>0.3</v>
      </c>
      <c r="AN70" s="83">
        <f>IFERROR(INDEX('Fee Calc'!P:P,MATCH(C70,'Fee Calc'!F:F,0)),0)</f>
        <v>241136.51411739909</v>
      </c>
      <c r="AO70" s="83">
        <f>IFERROR(INDEX('Fee Calc'!Q:Q,MATCH(C70,'Fee Calc'!F:F,0)),0)</f>
        <v>14892.600766311029</v>
      </c>
      <c r="AP70" s="83">
        <f t="shared" ref="AP70:AP132" si="41">AN70+AO70</f>
        <v>256029.11488371011</v>
      </c>
      <c r="AQ70" s="70">
        <f t="shared" ref="AQ70:AQ132" si="42">$AQ$3*AP70*1.08</f>
        <v>109332.62498702049</v>
      </c>
      <c r="AR70" s="70">
        <f t="shared" ref="AR70:AR132" si="43">AQ70*0.5</f>
        <v>54666.312493510246</v>
      </c>
      <c r="AS70" s="70">
        <f t="shared" ref="AS70:AS132" si="44">AR70</f>
        <v>54666.312493510246</v>
      </c>
    </row>
    <row r="71" spans="1:45">
      <c r="A71" s="104" t="s">
        <v>500</v>
      </c>
      <c r="B71" s="124" t="s">
        <v>500</v>
      </c>
      <c r="C71" s="31" t="s">
        <v>501</v>
      </c>
      <c r="D71" s="125" t="s">
        <v>501</v>
      </c>
      <c r="E71" s="119" t="s">
        <v>2689</v>
      </c>
      <c r="F71" s="100" t="s">
        <v>2291</v>
      </c>
      <c r="G71" s="100" t="s">
        <v>227</v>
      </c>
      <c r="H71" s="43" t="str">
        <f t="shared" si="27"/>
        <v>Rural MRSA West</v>
      </c>
      <c r="I71" s="45">
        <f>INDEX('Fee Calc'!M:M,MATCH(C:C,'Fee Calc'!F:F,0))</f>
        <v>39572.214280651628</v>
      </c>
      <c r="J71" s="45">
        <f>INDEX('Fee Calc'!L:L,MATCH(C:C,'Fee Calc'!F:F,0))</f>
        <v>199149.67402745178</v>
      </c>
      <c r="K71" s="45">
        <f t="shared" si="28"/>
        <v>238721.8883081034</v>
      </c>
      <c r="L71" s="45">
        <v>41030.410000000003</v>
      </c>
      <c r="M71" s="45">
        <v>-11432.64</v>
      </c>
      <c r="N71" s="45">
        <f t="shared" si="29"/>
        <v>29597.770000000004</v>
      </c>
      <c r="O71" s="45">
        <v>10180.430550728786</v>
      </c>
      <c r="P71" s="45">
        <v>16370.190407982329</v>
      </c>
      <c r="Q71" s="45">
        <f t="shared" si="30"/>
        <v>26550.620958711115</v>
      </c>
      <c r="R71" s="45" t="str">
        <f t="shared" si="31"/>
        <v>Yes</v>
      </c>
      <c r="S71" s="46" t="str">
        <f t="shared" si="31"/>
        <v>Yes</v>
      </c>
      <c r="T71" s="47">
        <f>ROUND(INDEX(Summary!H:H,MATCH(H:H,Summary!A:A,0)),2)</f>
        <v>0</v>
      </c>
      <c r="U71" s="47">
        <f>ROUND(INDEX(Summary!I:I,MATCH(H:H,Summary!A:A,0)),2)</f>
        <v>0.2</v>
      </c>
      <c r="V71" s="81">
        <f t="shared" si="32"/>
        <v>0</v>
      </c>
      <c r="W71" s="81">
        <f t="shared" si="32"/>
        <v>39829.93480549036</v>
      </c>
      <c r="X71" s="45">
        <f t="shared" si="33"/>
        <v>39829.93480549036</v>
      </c>
      <c r="Y71" s="45" t="s">
        <v>2752</v>
      </c>
      <c r="Z71" s="45" t="str">
        <f t="shared" si="34"/>
        <v>No</v>
      </c>
      <c r="AA71" s="45" t="str">
        <f t="shared" si="34"/>
        <v>No</v>
      </c>
      <c r="AB71" s="45" t="str">
        <f t="shared" si="35"/>
        <v>Yes</v>
      </c>
      <c r="AC71" s="82">
        <f t="shared" si="36"/>
        <v>0.18</v>
      </c>
      <c r="AD71" s="82">
        <f t="shared" si="36"/>
        <v>0</v>
      </c>
      <c r="AE71" s="45">
        <f t="shared" si="37"/>
        <v>7122.998570517293</v>
      </c>
      <c r="AF71" s="45">
        <f t="shared" si="37"/>
        <v>0</v>
      </c>
      <c r="AG71" s="45">
        <f t="shared" si="38"/>
        <v>7122.998570517293</v>
      </c>
      <c r="AH71" s="47">
        <f>IFERROR(ROUNDDOWN(INDEX('90% of ACR'!K:K,MATCH(H:H,'90% of ACR'!A:A,0))*IF(I71&gt;0,IF(O71&gt;0,$R$4*MAX(O71-V71,0),0),0)/I71,2),0)</f>
        <v>0</v>
      </c>
      <c r="AI71" s="82">
        <f>IFERROR(ROUNDDOWN(INDEX('90% of ACR'!R:R,MATCH(H:H,'90% of ACR'!A:A,0))*IF(J71&gt;0,IF(P71&gt;0,$R$4*MAX(P71-W71,0),0),0)/J71,2),0)</f>
        <v>0</v>
      </c>
      <c r="AJ71" s="45">
        <f t="shared" si="39"/>
        <v>0</v>
      </c>
      <c r="AK71" s="45">
        <f t="shared" si="39"/>
        <v>0</v>
      </c>
      <c r="AL71" s="47">
        <f t="shared" si="40"/>
        <v>0</v>
      </c>
      <c r="AM71" s="47">
        <f t="shared" si="40"/>
        <v>0.2</v>
      </c>
      <c r="AN71" s="83">
        <f>IFERROR(INDEX('Fee Calc'!P:P,MATCH(C71,'Fee Calc'!F:F,0)),0)</f>
        <v>39829.93480549036</v>
      </c>
      <c r="AO71" s="83">
        <f>IFERROR(INDEX('Fee Calc'!Q:Q,MATCH(C71,'Fee Calc'!F:F,0)),0)</f>
        <v>2452.890292584314</v>
      </c>
      <c r="AP71" s="83">
        <f t="shared" si="41"/>
        <v>42282.825098074674</v>
      </c>
      <c r="AQ71" s="70">
        <f t="shared" si="42"/>
        <v>18056.119367281022</v>
      </c>
      <c r="AR71" s="70">
        <f t="shared" si="43"/>
        <v>9028.0596836405111</v>
      </c>
      <c r="AS71" s="70">
        <f t="shared" si="44"/>
        <v>9028.0596836405111</v>
      </c>
    </row>
    <row r="72" spans="1:45">
      <c r="A72" s="104" t="s">
        <v>692</v>
      </c>
      <c r="B72" s="124" t="s">
        <v>692</v>
      </c>
      <c r="C72" s="31" t="s">
        <v>693</v>
      </c>
      <c r="D72" s="125" t="s">
        <v>693</v>
      </c>
      <c r="E72" s="119" t="s">
        <v>2444</v>
      </c>
      <c r="F72" s="100" t="s">
        <v>2291</v>
      </c>
      <c r="G72" s="100" t="s">
        <v>227</v>
      </c>
      <c r="H72" s="43" t="str">
        <f t="shared" si="27"/>
        <v>Rural MRSA West</v>
      </c>
      <c r="I72" s="45">
        <f>INDEX('Fee Calc'!M:M,MATCH(C:C,'Fee Calc'!F:F,0))</f>
        <v>162702.31408022478</v>
      </c>
      <c r="J72" s="45">
        <f>INDEX('Fee Calc'!L:L,MATCH(C:C,'Fee Calc'!F:F,0))</f>
        <v>1048185.5057668514</v>
      </c>
      <c r="K72" s="45">
        <f t="shared" si="28"/>
        <v>1210887.8198470762</v>
      </c>
      <c r="L72" s="45">
        <v>124604.33</v>
      </c>
      <c r="M72" s="45">
        <v>261491.3</v>
      </c>
      <c r="N72" s="45">
        <f t="shared" si="29"/>
        <v>386095.63</v>
      </c>
      <c r="O72" s="45">
        <v>21421.728943620386</v>
      </c>
      <c r="P72" s="45">
        <v>-64303.028443998948</v>
      </c>
      <c r="Q72" s="45">
        <f t="shared" si="30"/>
        <v>-42881.299500378562</v>
      </c>
      <c r="R72" s="45" t="str">
        <f t="shared" si="31"/>
        <v>Yes</v>
      </c>
      <c r="S72" s="46" t="str">
        <f t="shared" si="31"/>
        <v>No</v>
      </c>
      <c r="T72" s="47">
        <f>ROUND(INDEX(Summary!H:H,MATCH(H:H,Summary!A:A,0)),2)</f>
        <v>0</v>
      </c>
      <c r="U72" s="47">
        <f>ROUND(INDEX(Summary!I:I,MATCH(H:H,Summary!A:A,0)),2)</f>
        <v>0.2</v>
      </c>
      <c r="V72" s="81">
        <f t="shared" si="32"/>
        <v>0</v>
      </c>
      <c r="W72" s="81">
        <f t="shared" si="32"/>
        <v>209637.10115337028</v>
      </c>
      <c r="X72" s="45">
        <f t="shared" si="33"/>
        <v>209637.10115337028</v>
      </c>
      <c r="Y72" s="45" t="s">
        <v>2752</v>
      </c>
      <c r="Z72" s="45" t="str">
        <f t="shared" si="34"/>
        <v>No</v>
      </c>
      <c r="AA72" s="45" t="str">
        <f t="shared" si="34"/>
        <v>No</v>
      </c>
      <c r="AB72" s="45" t="str">
        <f t="shared" si="35"/>
        <v>Yes</v>
      </c>
      <c r="AC72" s="82">
        <f t="shared" si="36"/>
        <v>0.09</v>
      </c>
      <c r="AD72" s="82">
        <f t="shared" si="36"/>
        <v>0</v>
      </c>
      <c r="AE72" s="45">
        <f t="shared" si="37"/>
        <v>14643.20826722023</v>
      </c>
      <c r="AF72" s="45">
        <f t="shared" si="37"/>
        <v>0</v>
      </c>
      <c r="AG72" s="45">
        <f t="shared" si="38"/>
        <v>14643.20826722023</v>
      </c>
      <c r="AH72" s="47">
        <f>IFERROR(ROUNDDOWN(INDEX('90% of ACR'!K:K,MATCH(H:H,'90% of ACR'!A:A,0))*IF(I72&gt;0,IF(O72&gt;0,$R$4*MAX(O72-V72,0),0),0)/I72,2),0)</f>
        <v>0</v>
      </c>
      <c r="AI72" s="82">
        <f>IFERROR(ROUNDDOWN(INDEX('90% of ACR'!R:R,MATCH(H:H,'90% of ACR'!A:A,0))*IF(J72&gt;0,IF(P72&gt;0,$R$4*MAX(P72-W72,0),0),0)/J72,2),0)</f>
        <v>0</v>
      </c>
      <c r="AJ72" s="45">
        <f t="shared" si="39"/>
        <v>0</v>
      </c>
      <c r="AK72" s="45">
        <f t="shared" si="39"/>
        <v>0</v>
      </c>
      <c r="AL72" s="47">
        <f t="shared" si="40"/>
        <v>0</v>
      </c>
      <c r="AM72" s="47">
        <f t="shared" si="40"/>
        <v>0.2</v>
      </c>
      <c r="AN72" s="83">
        <f>IFERROR(INDEX('Fee Calc'!P:P,MATCH(C72,'Fee Calc'!F:F,0)),0)</f>
        <v>209637.10115337028</v>
      </c>
      <c r="AO72" s="83">
        <f>IFERROR(INDEX('Fee Calc'!Q:Q,MATCH(C72,'Fee Calc'!F:F,0)),0)</f>
        <v>12944.061104800467</v>
      </c>
      <c r="AP72" s="83">
        <f t="shared" si="41"/>
        <v>222581.16225817075</v>
      </c>
      <c r="AQ72" s="70">
        <f t="shared" si="42"/>
        <v>95049.278881431179</v>
      </c>
      <c r="AR72" s="70">
        <f t="shared" si="43"/>
        <v>47524.639440715589</v>
      </c>
      <c r="AS72" s="70">
        <f t="shared" si="44"/>
        <v>47524.639440715589</v>
      </c>
    </row>
    <row r="73" spans="1:45">
      <c r="A73" s="104" t="s">
        <v>2284</v>
      </c>
      <c r="B73" s="124" t="s">
        <v>2284</v>
      </c>
      <c r="C73" s="31" t="s">
        <v>672</v>
      </c>
      <c r="D73" s="125" t="s">
        <v>672</v>
      </c>
      <c r="E73" s="119" t="s">
        <v>2458</v>
      </c>
      <c r="F73" s="100" t="s">
        <v>2279</v>
      </c>
      <c r="G73" s="100" t="s">
        <v>1526</v>
      </c>
      <c r="H73" s="43" t="str">
        <f t="shared" si="27"/>
        <v>Urban Lubbock</v>
      </c>
      <c r="I73" s="45">
        <f>INDEX('Fee Calc'!M:M,MATCH(C:C,'Fee Calc'!F:F,0))</f>
        <v>4514720.5714583416</v>
      </c>
      <c r="J73" s="45">
        <f>INDEX('Fee Calc'!L:L,MATCH(C:C,'Fee Calc'!F:F,0))</f>
        <v>3055691.5949183642</v>
      </c>
      <c r="K73" s="45">
        <f t="shared" si="28"/>
        <v>7570412.1663767062</v>
      </c>
      <c r="L73" s="45">
        <v>4710929.4800000004</v>
      </c>
      <c r="M73" s="45">
        <v>5132332.0199999996</v>
      </c>
      <c r="N73" s="45">
        <f t="shared" si="29"/>
        <v>9843261.5</v>
      </c>
      <c r="O73" s="45">
        <v>19983843.39915223</v>
      </c>
      <c r="P73" s="45">
        <v>8163868.1135107568</v>
      </c>
      <c r="Q73" s="45">
        <f t="shared" si="30"/>
        <v>28147711.512662988</v>
      </c>
      <c r="R73" s="45" t="str">
        <f t="shared" si="31"/>
        <v>Yes</v>
      </c>
      <c r="S73" s="46" t="str">
        <f t="shared" si="31"/>
        <v>Yes</v>
      </c>
      <c r="T73" s="47">
        <f>ROUND(INDEX(Summary!H:H,MATCH(H:H,Summary!A:A,0)),2)</f>
        <v>0</v>
      </c>
      <c r="U73" s="47">
        <f>ROUND(INDEX(Summary!I:I,MATCH(H:H,Summary!A:A,0)),2)</f>
        <v>0.61</v>
      </c>
      <c r="V73" s="81">
        <f t="shared" si="32"/>
        <v>0</v>
      </c>
      <c r="W73" s="81">
        <f t="shared" si="32"/>
        <v>1863971.8729002022</v>
      </c>
      <c r="X73" s="45">
        <f t="shared" si="33"/>
        <v>1863971.8729002022</v>
      </c>
      <c r="Y73" s="45" t="s">
        <v>2752</v>
      </c>
      <c r="Z73" s="45" t="str">
        <f t="shared" si="34"/>
        <v>Yes</v>
      </c>
      <c r="AA73" s="45" t="str">
        <f t="shared" si="34"/>
        <v>Yes</v>
      </c>
      <c r="AB73" s="45" t="str">
        <f t="shared" si="35"/>
        <v>Yes</v>
      </c>
      <c r="AC73" s="82">
        <f t="shared" si="36"/>
        <v>3.08</v>
      </c>
      <c r="AD73" s="82">
        <f t="shared" si="36"/>
        <v>1.44</v>
      </c>
      <c r="AE73" s="45">
        <f t="shared" si="37"/>
        <v>13905339.360091692</v>
      </c>
      <c r="AF73" s="45">
        <f t="shared" si="37"/>
        <v>4400195.896682444</v>
      </c>
      <c r="AG73" s="45">
        <f t="shared" si="38"/>
        <v>18305535.256774135</v>
      </c>
      <c r="AH73" s="47">
        <f>IFERROR(ROUNDDOWN(INDEX('90% of ACR'!K:K,MATCH(H:H,'90% of ACR'!A:A,0))*IF(I73&gt;0,IF(O73&gt;0,$R$4*MAX(O73-V73,0),0),0)/I73,2),0)</f>
        <v>1.1299999999999999</v>
      </c>
      <c r="AI73" s="82">
        <f>IFERROR(ROUNDDOWN(INDEX('90% of ACR'!R:R,MATCH(H:H,'90% of ACR'!A:A,0))*IF(J73&gt;0,IF(P73&gt;0,$R$4*MAX(P73-W73,0),0),0)/J73,2),0)</f>
        <v>1.3</v>
      </c>
      <c r="AJ73" s="45">
        <f t="shared" si="39"/>
        <v>5101634.2457479257</v>
      </c>
      <c r="AK73" s="45">
        <f t="shared" si="39"/>
        <v>3972399.0733938734</v>
      </c>
      <c r="AL73" s="47">
        <f t="shared" si="40"/>
        <v>1.1299999999999999</v>
      </c>
      <c r="AM73" s="47">
        <f t="shared" si="40"/>
        <v>1.9100000000000001</v>
      </c>
      <c r="AN73" s="83">
        <f>IFERROR(INDEX('Fee Calc'!P:P,MATCH(C73,'Fee Calc'!F:F,0)),0)</f>
        <v>10938005.192042001</v>
      </c>
      <c r="AO73" s="83">
        <f>IFERROR(INDEX('Fee Calc'!Q:Q,MATCH(C73,'Fee Calc'!F:F,0)),0)</f>
        <v>680525.09250520333</v>
      </c>
      <c r="AP73" s="83">
        <f t="shared" si="41"/>
        <v>11618530.284547204</v>
      </c>
      <c r="AQ73" s="70">
        <f t="shared" si="42"/>
        <v>4961484.2244707616</v>
      </c>
      <c r="AR73" s="70">
        <f t="shared" si="43"/>
        <v>2480742.1122353808</v>
      </c>
      <c r="AS73" s="70">
        <f t="shared" si="44"/>
        <v>2480742.1122353808</v>
      </c>
    </row>
    <row r="74" spans="1:45">
      <c r="A74" s="104" t="s">
        <v>883</v>
      </c>
      <c r="B74" s="124" t="s">
        <v>883</v>
      </c>
      <c r="C74" s="31" t="s">
        <v>884</v>
      </c>
      <c r="D74" s="125" t="s">
        <v>884</v>
      </c>
      <c r="E74" s="119" t="s">
        <v>2805</v>
      </c>
      <c r="F74" s="100" t="s">
        <v>1547</v>
      </c>
      <c r="G74" s="100" t="s">
        <v>1526</v>
      </c>
      <c r="H74" s="43" t="str">
        <f t="shared" si="27"/>
        <v>Children's Lubbock</v>
      </c>
      <c r="I74" s="45">
        <f>INDEX('Fee Calc'!M:M,MATCH(C:C,'Fee Calc'!F:F,0))</f>
        <v>35162915.260749012</v>
      </c>
      <c r="J74" s="45">
        <f>INDEX('Fee Calc'!L:L,MATCH(C:C,'Fee Calc'!F:F,0))</f>
        <v>10921666.485682342</v>
      </c>
      <c r="K74" s="45">
        <f t="shared" si="28"/>
        <v>46084581.746431351</v>
      </c>
      <c r="L74" s="45">
        <v>2718727.94</v>
      </c>
      <c r="M74" s="45">
        <v>6739961.4199999999</v>
      </c>
      <c r="N74" s="45">
        <f t="shared" si="29"/>
        <v>9458689.3599999994</v>
      </c>
      <c r="O74" s="45">
        <v>21900796.084654324</v>
      </c>
      <c r="P74" s="45">
        <v>22944379.949444428</v>
      </c>
      <c r="Q74" s="45">
        <f t="shared" si="30"/>
        <v>44845176.034098752</v>
      </c>
      <c r="R74" s="45" t="str">
        <f t="shared" si="31"/>
        <v>Yes</v>
      </c>
      <c r="S74" s="46" t="str">
        <f t="shared" si="31"/>
        <v>Yes</v>
      </c>
      <c r="T74" s="47">
        <f>ROUND(INDEX(Summary!H:H,MATCH(H:H,Summary!A:A,0)),2)</f>
        <v>0.08</v>
      </c>
      <c r="U74" s="47">
        <f>ROUND(INDEX(Summary!I:I,MATCH(H:H,Summary!A:A,0)),2)</f>
        <v>0.62</v>
      </c>
      <c r="V74" s="81">
        <f t="shared" si="32"/>
        <v>2813033.2208599211</v>
      </c>
      <c r="W74" s="81">
        <f t="shared" si="32"/>
        <v>6771433.2211230518</v>
      </c>
      <c r="X74" s="45">
        <f t="shared" si="33"/>
        <v>9584466.4419829734</v>
      </c>
      <c r="Y74" s="45" t="s">
        <v>2752</v>
      </c>
      <c r="Z74" s="45" t="str">
        <f t="shared" si="34"/>
        <v>Yes</v>
      </c>
      <c r="AA74" s="45" t="str">
        <f t="shared" si="34"/>
        <v>Yes</v>
      </c>
      <c r="AB74" s="45" t="str">
        <f t="shared" si="35"/>
        <v>Yes</v>
      </c>
      <c r="AC74" s="82">
        <f t="shared" si="36"/>
        <v>0.38</v>
      </c>
      <c r="AD74" s="82">
        <f t="shared" si="36"/>
        <v>1.03</v>
      </c>
      <c r="AE74" s="45">
        <f t="shared" si="37"/>
        <v>13361907.799084624</v>
      </c>
      <c r="AF74" s="45">
        <f t="shared" si="37"/>
        <v>11249316.480252814</v>
      </c>
      <c r="AG74" s="45">
        <f t="shared" si="38"/>
        <v>24611224.279337436</v>
      </c>
      <c r="AH74" s="47">
        <f>IFERROR(ROUNDDOWN(INDEX('90% of ACR'!K:K,MATCH(H:H,'90% of ACR'!A:A,0))*IF(I74&gt;0,IF(O74&gt;0,$R$4*MAX(O74-V74,0),0),0)/I74,2),0)</f>
        <v>0.37</v>
      </c>
      <c r="AI74" s="82">
        <f>IFERROR(ROUNDDOWN(INDEX('90% of ACR'!R:R,MATCH(H:H,'90% of ACR'!A:A,0))*IF(J74&gt;0,IF(P74&gt;0,$R$4*MAX(P74-W74,0),0),0)/J74,2),0)</f>
        <v>1.03</v>
      </c>
      <c r="AJ74" s="45">
        <f t="shared" si="39"/>
        <v>13010278.646477135</v>
      </c>
      <c r="AK74" s="45">
        <f t="shared" si="39"/>
        <v>11249316.480252814</v>
      </c>
      <c r="AL74" s="47">
        <f t="shared" si="40"/>
        <v>0.45</v>
      </c>
      <c r="AM74" s="47">
        <f t="shared" si="40"/>
        <v>1.65</v>
      </c>
      <c r="AN74" s="83">
        <f>IFERROR(INDEX('Fee Calc'!P:P,MATCH(C74,'Fee Calc'!F:F,0)),0)</f>
        <v>33844061.56871292</v>
      </c>
      <c r="AO74" s="83">
        <f>IFERROR(INDEX('Fee Calc'!Q:Q,MATCH(C74,'Fee Calc'!F:F,0)),0)</f>
        <v>2073909.2137782022</v>
      </c>
      <c r="AP74" s="83">
        <f t="shared" si="41"/>
        <v>35917970.782491125</v>
      </c>
      <c r="AQ74" s="70">
        <f t="shared" si="42"/>
        <v>15338122.899188749</v>
      </c>
      <c r="AR74" s="70">
        <f t="shared" si="43"/>
        <v>7669061.4495943747</v>
      </c>
      <c r="AS74" s="70">
        <f t="shared" si="44"/>
        <v>7669061.4495943747</v>
      </c>
    </row>
    <row r="75" spans="1:45">
      <c r="A75" s="104" t="s">
        <v>871</v>
      </c>
      <c r="B75" s="124" t="s">
        <v>871</v>
      </c>
      <c r="C75" s="31" t="s">
        <v>872</v>
      </c>
      <c r="D75" s="125" t="s">
        <v>872</v>
      </c>
      <c r="E75" s="119" t="s">
        <v>2806</v>
      </c>
      <c r="F75" s="100" t="s">
        <v>2291</v>
      </c>
      <c r="G75" s="100" t="s">
        <v>1526</v>
      </c>
      <c r="H75" s="43" t="str">
        <f t="shared" si="27"/>
        <v>Rural Lubbock</v>
      </c>
      <c r="I75" s="45">
        <f>INDEX('Fee Calc'!M:M,MATCH(C:C,'Fee Calc'!F:F,0))</f>
        <v>2191328.0145798889</v>
      </c>
      <c r="J75" s="45">
        <f>INDEX('Fee Calc'!L:L,MATCH(C:C,'Fee Calc'!F:F,0))</f>
        <v>1390862.4448966063</v>
      </c>
      <c r="K75" s="45">
        <f t="shared" si="28"/>
        <v>3582190.4594764952</v>
      </c>
      <c r="L75" s="45">
        <v>803459.61</v>
      </c>
      <c r="M75" s="45">
        <v>292226.63</v>
      </c>
      <c r="N75" s="45">
        <f t="shared" si="29"/>
        <v>1095686.24</v>
      </c>
      <c r="O75" s="45">
        <v>922983.83841468045</v>
      </c>
      <c r="P75" s="45">
        <v>791419.02415446739</v>
      </c>
      <c r="Q75" s="45">
        <f t="shared" si="30"/>
        <v>1714402.8625691477</v>
      </c>
      <c r="R75" s="45" t="str">
        <f t="shared" si="31"/>
        <v>Yes</v>
      </c>
      <c r="S75" s="46" t="str">
        <f t="shared" si="31"/>
        <v>Yes</v>
      </c>
      <c r="T75" s="47">
        <f>ROUND(INDEX(Summary!H:H,MATCH(H:H,Summary!A:A,0)),2)</f>
        <v>0.49</v>
      </c>
      <c r="U75" s="47">
        <f>ROUND(INDEX(Summary!I:I,MATCH(H:H,Summary!A:A,0)),2)</f>
        <v>0.18</v>
      </c>
      <c r="V75" s="81">
        <f t="shared" si="32"/>
        <v>1073750.7271441456</v>
      </c>
      <c r="W75" s="81">
        <f t="shared" si="32"/>
        <v>250355.24008138911</v>
      </c>
      <c r="X75" s="45">
        <f t="shared" si="33"/>
        <v>1324105.9672255348</v>
      </c>
      <c r="Y75" s="45" t="s">
        <v>2752</v>
      </c>
      <c r="Z75" s="45" t="str">
        <f t="shared" si="34"/>
        <v>No</v>
      </c>
      <c r="AA75" s="45" t="str">
        <f t="shared" si="34"/>
        <v>Yes</v>
      </c>
      <c r="AB75" s="45" t="str">
        <f t="shared" si="35"/>
        <v>Yes</v>
      </c>
      <c r="AC75" s="82">
        <f t="shared" si="36"/>
        <v>0</v>
      </c>
      <c r="AD75" s="82">
        <f t="shared" si="36"/>
        <v>0.27</v>
      </c>
      <c r="AE75" s="45">
        <f t="shared" si="37"/>
        <v>0</v>
      </c>
      <c r="AF75" s="45">
        <f t="shared" si="37"/>
        <v>375532.86012208374</v>
      </c>
      <c r="AG75" s="45">
        <f t="shared" si="38"/>
        <v>375532.86012208374</v>
      </c>
      <c r="AH75" s="47">
        <f>IFERROR(ROUNDDOWN(INDEX('90% of ACR'!K:K,MATCH(H:H,'90% of ACR'!A:A,0))*IF(I75&gt;0,IF(O75&gt;0,$R$4*MAX(O75-V75,0),0),0)/I75,2),0)</f>
        <v>0</v>
      </c>
      <c r="AI75" s="82">
        <f>IFERROR(ROUNDDOWN(INDEX('90% of ACR'!R:R,MATCH(H:H,'90% of ACR'!A:A,0))*IF(J75&gt;0,IF(P75&gt;0,$R$4*MAX(P75-W75,0),0),0)/J75,2),0)</f>
        <v>0.22</v>
      </c>
      <c r="AJ75" s="45">
        <f t="shared" si="39"/>
        <v>0</v>
      </c>
      <c r="AK75" s="45">
        <f t="shared" si="39"/>
        <v>305989.73787725338</v>
      </c>
      <c r="AL75" s="47">
        <f t="shared" si="40"/>
        <v>0.49</v>
      </c>
      <c r="AM75" s="47">
        <f t="shared" si="40"/>
        <v>0.4</v>
      </c>
      <c r="AN75" s="83">
        <f>IFERROR(INDEX('Fee Calc'!P:P,MATCH(C75,'Fee Calc'!F:F,0)),0)</f>
        <v>1630095.7051027883</v>
      </c>
      <c r="AO75" s="83">
        <f>IFERROR(INDEX('Fee Calc'!Q:Q,MATCH(C75,'Fee Calc'!F:F,0)),0)</f>
        <v>99933.082254692577</v>
      </c>
      <c r="AP75" s="83">
        <f t="shared" si="41"/>
        <v>1730028.787357481</v>
      </c>
      <c r="AQ75" s="70">
        <f t="shared" si="42"/>
        <v>738777.65312283987</v>
      </c>
      <c r="AR75" s="70">
        <f t="shared" si="43"/>
        <v>369388.82656141993</v>
      </c>
      <c r="AS75" s="70">
        <f t="shared" si="44"/>
        <v>369388.82656141993</v>
      </c>
    </row>
    <row r="76" spans="1:45">
      <c r="A76" s="104" t="s">
        <v>877</v>
      </c>
      <c r="B76" s="124" t="s">
        <v>877</v>
      </c>
      <c r="C76" s="31" t="s">
        <v>878</v>
      </c>
      <c r="D76" s="125" t="s">
        <v>878</v>
      </c>
      <c r="E76" s="119" t="s">
        <v>2807</v>
      </c>
      <c r="F76" s="100" t="s">
        <v>2291</v>
      </c>
      <c r="G76" s="100" t="s">
        <v>1526</v>
      </c>
      <c r="H76" s="43" t="str">
        <f t="shared" si="27"/>
        <v>Rural Lubbock</v>
      </c>
      <c r="I76" s="45">
        <f>INDEX('Fee Calc'!M:M,MATCH(C:C,'Fee Calc'!F:F,0))</f>
        <v>3052307.284747065</v>
      </c>
      <c r="J76" s="45">
        <f>INDEX('Fee Calc'!L:L,MATCH(C:C,'Fee Calc'!F:F,0))</f>
        <v>2395755.2394053321</v>
      </c>
      <c r="K76" s="45">
        <f t="shared" si="28"/>
        <v>5448062.5241523972</v>
      </c>
      <c r="L76" s="45">
        <v>1074426.8500000001</v>
      </c>
      <c r="M76" s="45">
        <v>819565.9</v>
      </c>
      <c r="N76" s="45">
        <f t="shared" si="29"/>
        <v>1893992.75</v>
      </c>
      <c r="O76" s="45">
        <v>2568580.9340265654</v>
      </c>
      <c r="P76" s="45">
        <v>1968405.5935758757</v>
      </c>
      <c r="Q76" s="45">
        <f t="shared" si="30"/>
        <v>4536986.5276024416</v>
      </c>
      <c r="R76" s="45" t="str">
        <f t="shared" si="31"/>
        <v>Yes</v>
      </c>
      <c r="S76" s="46" t="str">
        <f t="shared" si="31"/>
        <v>Yes</v>
      </c>
      <c r="T76" s="47">
        <f>ROUND(INDEX(Summary!H:H,MATCH(H:H,Summary!A:A,0)),2)</f>
        <v>0.49</v>
      </c>
      <c r="U76" s="47">
        <f>ROUND(INDEX(Summary!I:I,MATCH(H:H,Summary!A:A,0)),2)</f>
        <v>0.18</v>
      </c>
      <c r="V76" s="81">
        <f t="shared" si="32"/>
        <v>1495630.5695260619</v>
      </c>
      <c r="W76" s="81">
        <f t="shared" si="32"/>
        <v>431235.94309295976</v>
      </c>
      <c r="X76" s="45">
        <f t="shared" si="33"/>
        <v>1926866.5126190216</v>
      </c>
      <c r="Y76" s="45" t="s">
        <v>2752</v>
      </c>
      <c r="Z76" s="45" t="str">
        <f t="shared" si="34"/>
        <v>No</v>
      </c>
      <c r="AA76" s="45" t="str">
        <f t="shared" si="34"/>
        <v>Yes</v>
      </c>
      <c r="AB76" s="45" t="str">
        <f t="shared" si="35"/>
        <v>Yes</v>
      </c>
      <c r="AC76" s="82">
        <f t="shared" si="36"/>
        <v>0.24</v>
      </c>
      <c r="AD76" s="82">
        <f t="shared" si="36"/>
        <v>0.45</v>
      </c>
      <c r="AE76" s="45">
        <f t="shared" si="37"/>
        <v>732553.74833929562</v>
      </c>
      <c r="AF76" s="45">
        <f t="shared" si="37"/>
        <v>1078089.8577323996</v>
      </c>
      <c r="AG76" s="45">
        <f t="shared" si="38"/>
        <v>1810643.6060716952</v>
      </c>
      <c r="AH76" s="47">
        <f>IFERROR(ROUNDDOWN(INDEX('90% of ACR'!K:K,MATCH(H:H,'90% of ACR'!A:A,0))*IF(I76&gt;0,IF(O76&gt;0,$R$4*MAX(O76-V76,0),0),0)/I76,2),0)</f>
        <v>0</v>
      </c>
      <c r="AI76" s="82">
        <f>IFERROR(ROUNDDOWN(INDEX('90% of ACR'!R:R,MATCH(H:H,'90% of ACR'!A:A,0))*IF(J76&gt;0,IF(P76&gt;0,$R$4*MAX(P76-W76,0),0),0)/J76,2),0)</f>
        <v>0.36</v>
      </c>
      <c r="AJ76" s="45">
        <f t="shared" si="39"/>
        <v>0</v>
      </c>
      <c r="AK76" s="45">
        <f t="shared" si="39"/>
        <v>862471.88618591952</v>
      </c>
      <c r="AL76" s="47">
        <f t="shared" si="40"/>
        <v>0.49</v>
      </c>
      <c r="AM76" s="47">
        <f t="shared" si="40"/>
        <v>0.54</v>
      </c>
      <c r="AN76" s="83">
        <f>IFERROR(INDEX('Fee Calc'!P:P,MATCH(C76,'Fee Calc'!F:F,0)),0)</f>
        <v>2789338.3988049412</v>
      </c>
      <c r="AO76" s="83">
        <f>IFERROR(INDEX('Fee Calc'!Q:Q,MATCH(C76,'Fee Calc'!F:F,0)),0)</f>
        <v>171037.60930370699</v>
      </c>
      <c r="AP76" s="83">
        <f t="shared" si="41"/>
        <v>2960376.008108648</v>
      </c>
      <c r="AQ76" s="70">
        <f t="shared" si="42"/>
        <v>1264175.2874946522</v>
      </c>
      <c r="AR76" s="70">
        <f t="shared" si="43"/>
        <v>632087.6437473261</v>
      </c>
      <c r="AS76" s="70">
        <f t="shared" si="44"/>
        <v>632087.6437473261</v>
      </c>
    </row>
    <row r="77" spans="1:45">
      <c r="A77" s="104" t="s">
        <v>698</v>
      </c>
      <c r="B77" s="124" t="s">
        <v>2698</v>
      </c>
      <c r="C77" s="31" t="s">
        <v>699</v>
      </c>
      <c r="D77" s="125" t="s">
        <v>699</v>
      </c>
      <c r="E77" s="119" t="s">
        <v>2349</v>
      </c>
      <c r="F77" s="100" t="s">
        <v>2291</v>
      </c>
      <c r="G77" s="100" t="s">
        <v>227</v>
      </c>
      <c r="H77" s="43" t="str">
        <f t="shared" si="27"/>
        <v>Rural MRSA West</v>
      </c>
      <c r="I77" s="45">
        <f>INDEX('Fee Calc'!M:M,MATCH(C:C,'Fee Calc'!F:F,0))</f>
        <v>31028.108787454421</v>
      </c>
      <c r="J77" s="45">
        <f>INDEX('Fee Calc'!L:L,MATCH(C:C,'Fee Calc'!F:F,0))</f>
        <v>390679.30584106978</v>
      </c>
      <c r="K77" s="45">
        <f t="shared" si="28"/>
        <v>421707.41462852422</v>
      </c>
      <c r="L77" s="45">
        <v>7016.11</v>
      </c>
      <c r="M77" s="45">
        <v>-36904.65</v>
      </c>
      <c r="N77" s="45">
        <f t="shared" si="29"/>
        <v>-29888.54</v>
      </c>
      <c r="O77" s="45">
        <v>16867.528480168021</v>
      </c>
      <c r="P77" s="45">
        <v>43523.074804656208</v>
      </c>
      <c r="Q77" s="45">
        <f t="shared" si="30"/>
        <v>60390.603284824232</v>
      </c>
      <c r="R77" s="45" t="str">
        <f t="shared" si="31"/>
        <v>Yes</v>
      </c>
      <c r="S77" s="46" t="str">
        <f t="shared" si="31"/>
        <v>Yes</v>
      </c>
      <c r="T77" s="47">
        <f>ROUND(INDEX(Summary!H:H,MATCH(H:H,Summary!A:A,0)),2)</f>
        <v>0</v>
      </c>
      <c r="U77" s="47">
        <f>ROUND(INDEX(Summary!I:I,MATCH(H:H,Summary!A:A,0)),2)</f>
        <v>0.2</v>
      </c>
      <c r="V77" s="81">
        <f t="shared" si="32"/>
        <v>0</v>
      </c>
      <c r="W77" s="81">
        <f t="shared" si="32"/>
        <v>78135.86116821396</v>
      </c>
      <c r="X77" s="45">
        <f t="shared" si="33"/>
        <v>78135.86116821396</v>
      </c>
      <c r="Y77" s="45" t="s">
        <v>2752</v>
      </c>
      <c r="Z77" s="45" t="str">
        <f t="shared" si="34"/>
        <v>No</v>
      </c>
      <c r="AA77" s="45" t="str">
        <f t="shared" si="34"/>
        <v>No</v>
      </c>
      <c r="AB77" s="45" t="str">
        <f t="shared" si="35"/>
        <v>Yes</v>
      </c>
      <c r="AC77" s="82">
        <f t="shared" si="36"/>
        <v>0.38</v>
      </c>
      <c r="AD77" s="82">
        <f t="shared" si="36"/>
        <v>0</v>
      </c>
      <c r="AE77" s="45">
        <f t="shared" si="37"/>
        <v>11790.68133923268</v>
      </c>
      <c r="AF77" s="45">
        <f t="shared" si="37"/>
        <v>0</v>
      </c>
      <c r="AG77" s="45">
        <f t="shared" si="38"/>
        <v>11790.68133923268</v>
      </c>
      <c r="AH77" s="47">
        <f>IFERROR(ROUNDDOWN(INDEX('90% of ACR'!K:K,MATCH(H:H,'90% of ACR'!A:A,0))*IF(I77&gt;0,IF(O77&gt;0,$R$4*MAX(O77-V77,0),0),0)/I77,2),0)</f>
        <v>0</v>
      </c>
      <c r="AI77" s="82">
        <f>IFERROR(ROUNDDOWN(INDEX('90% of ACR'!R:R,MATCH(H:H,'90% of ACR'!A:A,0))*IF(J77&gt;0,IF(P77&gt;0,$R$4*MAX(P77-W77,0),0),0)/J77,2),0)</f>
        <v>0</v>
      </c>
      <c r="AJ77" s="45">
        <f t="shared" si="39"/>
        <v>0</v>
      </c>
      <c r="AK77" s="45">
        <f t="shared" si="39"/>
        <v>0</v>
      </c>
      <c r="AL77" s="47">
        <f t="shared" si="40"/>
        <v>0</v>
      </c>
      <c r="AM77" s="47">
        <f t="shared" si="40"/>
        <v>0.2</v>
      </c>
      <c r="AN77" s="83">
        <f>IFERROR(INDEX('Fee Calc'!P:P,MATCH(C77,'Fee Calc'!F:F,0)),0)</f>
        <v>78135.86116821396</v>
      </c>
      <c r="AO77" s="83">
        <f>IFERROR(INDEX('Fee Calc'!Q:Q,MATCH(C77,'Fee Calc'!F:F,0)),0)</f>
        <v>4890.2673273540977</v>
      </c>
      <c r="AP77" s="83">
        <f t="shared" si="41"/>
        <v>83026.12849556806</v>
      </c>
      <c r="AQ77" s="70">
        <f t="shared" si="42"/>
        <v>35454.813703719417</v>
      </c>
      <c r="AR77" s="70">
        <f t="shared" si="43"/>
        <v>17727.406851859709</v>
      </c>
      <c r="AS77" s="70">
        <f t="shared" si="44"/>
        <v>17727.406851859709</v>
      </c>
    </row>
    <row r="78" spans="1:45">
      <c r="A78" s="104" t="s">
        <v>920</v>
      </c>
      <c r="B78" s="124" t="s">
        <v>920</v>
      </c>
      <c r="C78" s="31" t="s">
        <v>921</v>
      </c>
      <c r="D78" s="125" t="s">
        <v>921</v>
      </c>
      <c r="E78" s="119" t="s">
        <v>2326</v>
      </c>
      <c r="F78" s="100" t="s">
        <v>2291</v>
      </c>
      <c r="G78" s="100" t="s">
        <v>310</v>
      </c>
      <c r="H78" s="43" t="str">
        <f t="shared" si="27"/>
        <v>Rural MRSA Northeast</v>
      </c>
      <c r="I78" s="45">
        <f>INDEX('Fee Calc'!M:M,MATCH(C:C,'Fee Calc'!F:F,0))</f>
        <v>22719.976857844766</v>
      </c>
      <c r="J78" s="45">
        <f>INDEX('Fee Calc'!L:L,MATCH(C:C,'Fee Calc'!F:F,0))</f>
        <v>142993.37193734504</v>
      </c>
      <c r="K78" s="45">
        <f t="shared" si="28"/>
        <v>165713.34879518981</v>
      </c>
      <c r="L78" s="45">
        <v>61153.66</v>
      </c>
      <c r="M78" s="45">
        <v>61802.14</v>
      </c>
      <c r="N78" s="45">
        <f t="shared" si="29"/>
        <v>122955.8</v>
      </c>
      <c r="O78" s="45">
        <v>21556.34704531034</v>
      </c>
      <c r="P78" s="45">
        <v>21580.811017542292</v>
      </c>
      <c r="Q78" s="45">
        <f t="shared" si="30"/>
        <v>43137.158062852628</v>
      </c>
      <c r="R78" s="45" t="str">
        <f t="shared" si="31"/>
        <v>Yes</v>
      </c>
      <c r="S78" s="46" t="str">
        <f t="shared" si="31"/>
        <v>Yes</v>
      </c>
      <c r="T78" s="47">
        <f>ROUND(INDEX(Summary!H:H,MATCH(H:H,Summary!A:A,0)),2)</f>
        <v>0</v>
      </c>
      <c r="U78" s="47">
        <f>ROUND(INDEX(Summary!I:I,MATCH(H:H,Summary!A:A,0)),2)</f>
        <v>0.3</v>
      </c>
      <c r="V78" s="81">
        <f t="shared" si="32"/>
        <v>0</v>
      </c>
      <c r="W78" s="81">
        <f t="shared" si="32"/>
        <v>42898.011581203515</v>
      </c>
      <c r="X78" s="45">
        <f t="shared" si="33"/>
        <v>42898.011581203515</v>
      </c>
      <c r="Y78" s="45" t="s">
        <v>2752</v>
      </c>
      <c r="Z78" s="45" t="str">
        <f t="shared" si="34"/>
        <v>Yes</v>
      </c>
      <c r="AA78" s="45" t="str">
        <f t="shared" si="34"/>
        <v>No</v>
      </c>
      <c r="AB78" s="45" t="str">
        <f t="shared" si="35"/>
        <v>Yes</v>
      </c>
      <c r="AC78" s="82">
        <f t="shared" si="36"/>
        <v>0.66</v>
      </c>
      <c r="AD78" s="82">
        <f t="shared" si="36"/>
        <v>0</v>
      </c>
      <c r="AE78" s="45">
        <f t="shared" si="37"/>
        <v>14995.184726177546</v>
      </c>
      <c r="AF78" s="45">
        <f t="shared" si="37"/>
        <v>0</v>
      </c>
      <c r="AG78" s="45">
        <f t="shared" si="38"/>
        <v>14995.184726177546</v>
      </c>
      <c r="AH78" s="47">
        <f>IFERROR(ROUNDDOWN(INDEX('90% of ACR'!K:K,MATCH(H:H,'90% of ACR'!A:A,0))*IF(I78&gt;0,IF(O78&gt;0,$R$4*MAX(O78-V78,0),0),0)/I78,2),0)</f>
        <v>0.45</v>
      </c>
      <c r="AI78" s="82">
        <f>IFERROR(ROUNDDOWN(INDEX('90% of ACR'!R:R,MATCH(H:H,'90% of ACR'!A:A,0))*IF(J78&gt;0,IF(P78&gt;0,$R$4*MAX(P78-W78,0),0),0)/J78,2),0)</f>
        <v>0</v>
      </c>
      <c r="AJ78" s="45">
        <f t="shared" si="39"/>
        <v>10223.989586030144</v>
      </c>
      <c r="AK78" s="45">
        <f t="shared" si="39"/>
        <v>0</v>
      </c>
      <c r="AL78" s="47">
        <f t="shared" si="40"/>
        <v>0.45</v>
      </c>
      <c r="AM78" s="47">
        <f t="shared" si="40"/>
        <v>0.3</v>
      </c>
      <c r="AN78" s="83">
        <f>IFERROR(INDEX('Fee Calc'!P:P,MATCH(C78,'Fee Calc'!F:F,0)),0)</f>
        <v>53122.001167233655</v>
      </c>
      <c r="AO78" s="83">
        <f>IFERROR(INDEX('Fee Calc'!Q:Q,MATCH(C78,'Fee Calc'!F:F,0)),0)</f>
        <v>3282.8856585391177</v>
      </c>
      <c r="AP78" s="83">
        <f t="shared" si="41"/>
        <v>56404.886825772774</v>
      </c>
      <c r="AQ78" s="70">
        <f t="shared" si="42"/>
        <v>24086.691630983398</v>
      </c>
      <c r="AR78" s="70">
        <f t="shared" si="43"/>
        <v>12043.345815491699</v>
      </c>
      <c r="AS78" s="70">
        <f t="shared" si="44"/>
        <v>12043.345815491699</v>
      </c>
    </row>
    <row r="79" spans="1:45">
      <c r="A79" s="104" t="s">
        <v>1203</v>
      </c>
      <c r="B79" s="124" t="s">
        <v>1203</v>
      </c>
      <c r="C79" s="31" t="s">
        <v>1204</v>
      </c>
      <c r="D79" s="125" t="s">
        <v>1204</v>
      </c>
      <c r="E79" s="119" t="s">
        <v>2808</v>
      </c>
      <c r="F79" s="100" t="s">
        <v>2279</v>
      </c>
      <c r="G79" s="100" t="s">
        <v>487</v>
      </c>
      <c r="H79" s="43" t="str">
        <f t="shared" si="27"/>
        <v>Urban Bexar</v>
      </c>
      <c r="I79" s="45">
        <f>INDEX('Fee Calc'!M:M,MATCH(C:C,'Fee Calc'!F:F,0))</f>
        <v>62438878.277786143</v>
      </c>
      <c r="J79" s="45">
        <f>INDEX('Fee Calc'!L:L,MATCH(C:C,'Fee Calc'!F:F,0))</f>
        <v>44573238.117038503</v>
      </c>
      <c r="K79" s="45">
        <f t="shared" si="28"/>
        <v>107012116.39482465</v>
      </c>
      <c r="L79" s="45">
        <v>22298665.969999999</v>
      </c>
      <c r="M79" s="45">
        <v>15370270.810000001</v>
      </c>
      <c r="N79" s="45">
        <f t="shared" si="29"/>
        <v>37668936.780000001</v>
      </c>
      <c r="O79" s="45">
        <v>-6606817.4910618663</v>
      </c>
      <c r="P79" s="45">
        <v>17136229.343585424</v>
      </c>
      <c r="Q79" s="45">
        <f t="shared" si="30"/>
        <v>10529411.852523558</v>
      </c>
      <c r="R79" s="45" t="str">
        <f t="shared" si="31"/>
        <v>No</v>
      </c>
      <c r="S79" s="46" t="str">
        <f t="shared" si="31"/>
        <v>Yes</v>
      </c>
      <c r="T79" s="47">
        <f>ROUND(INDEX(Summary!H:H,MATCH(H:H,Summary!A:A,0)),2)</f>
        <v>0.4</v>
      </c>
      <c r="U79" s="47">
        <f>ROUND(INDEX(Summary!I:I,MATCH(H:H,Summary!A:A,0)),2)</f>
        <v>0.45</v>
      </c>
      <c r="V79" s="81">
        <f t="shared" si="32"/>
        <v>24975551.31111446</v>
      </c>
      <c r="W79" s="81">
        <f t="shared" si="32"/>
        <v>20057957.152667329</v>
      </c>
      <c r="X79" s="45">
        <f t="shared" si="33"/>
        <v>45033508.463781789</v>
      </c>
      <c r="Y79" s="45" t="s">
        <v>2752</v>
      </c>
      <c r="Z79" s="45" t="str">
        <f t="shared" si="34"/>
        <v>No</v>
      </c>
      <c r="AA79" s="45" t="str">
        <f t="shared" si="34"/>
        <v>No</v>
      </c>
      <c r="AB79" s="45" t="str">
        <f t="shared" si="35"/>
        <v>No</v>
      </c>
      <c r="AC79" s="82">
        <f t="shared" si="36"/>
        <v>0</v>
      </c>
      <c r="AD79" s="82">
        <f t="shared" si="36"/>
        <v>0</v>
      </c>
      <c r="AE79" s="45">
        <f t="shared" si="37"/>
        <v>0</v>
      </c>
      <c r="AF79" s="45">
        <f t="shared" si="37"/>
        <v>0</v>
      </c>
      <c r="AG79" s="45">
        <f t="shared" si="38"/>
        <v>0</v>
      </c>
      <c r="AH79" s="47">
        <f>IFERROR(ROUNDDOWN(INDEX('90% of ACR'!K:K,MATCH(H:H,'90% of ACR'!A:A,0))*IF(I79&gt;0,IF(O79&gt;0,$R$4*MAX(O79-V79,0),0),0)/I79,2),0)</f>
        <v>0</v>
      </c>
      <c r="AI79" s="82">
        <f>IFERROR(ROUNDDOWN(INDEX('90% of ACR'!R:R,MATCH(H:H,'90% of ACR'!A:A,0))*IF(J79&gt;0,IF(P79&gt;0,$R$4*MAX(P79-W79,0),0),0)/J79,2),0)</f>
        <v>0</v>
      </c>
      <c r="AJ79" s="45">
        <f t="shared" si="39"/>
        <v>0</v>
      </c>
      <c r="AK79" s="45">
        <f t="shared" si="39"/>
        <v>0</v>
      </c>
      <c r="AL79" s="47">
        <f t="shared" si="40"/>
        <v>0.4</v>
      </c>
      <c r="AM79" s="47">
        <f t="shared" si="40"/>
        <v>0.45</v>
      </c>
      <c r="AN79" s="83">
        <f>IFERROR(INDEX('Fee Calc'!P:P,MATCH(C79,'Fee Calc'!F:F,0)),0)</f>
        <v>45033508.463781789</v>
      </c>
      <c r="AO79" s="83">
        <f>IFERROR(INDEX('Fee Calc'!Q:Q,MATCH(C79,'Fee Calc'!F:F,0)),0)</f>
        <v>2784725.3757856223</v>
      </c>
      <c r="AP79" s="83">
        <f t="shared" si="41"/>
        <v>47818233.839567408</v>
      </c>
      <c r="AQ79" s="70">
        <f t="shared" si="42"/>
        <v>20419916.032978151</v>
      </c>
      <c r="AR79" s="70">
        <f t="shared" si="43"/>
        <v>10209958.016489075</v>
      </c>
      <c r="AS79" s="70">
        <f t="shared" si="44"/>
        <v>10209958.016489075</v>
      </c>
    </row>
    <row r="80" spans="1:45">
      <c r="A80" s="104" t="s">
        <v>1558</v>
      </c>
      <c r="B80" s="124" t="s">
        <v>1558</v>
      </c>
      <c r="C80" s="31" t="s">
        <v>1641</v>
      </c>
      <c r="D80" s="125" t="s">
        <v>1641</v>
      </c>
      <c r="E80" s="119" t="s">
        <v>2589</v>
      </c>
      <c r="F80" s="100" t="s">
        <v>2279</v>
      </c>
      <c r="G80" s="100" t="s">
        <v>223</v>
      </c>
      <c r="H80" s="43" t="str">
        <f t="shared" si="27"/>
        <v>Urban Dallas</v>
      </c>
      <c r="I80" s="45">
        <f>INDEX('Fee Calc'!M:M,MATCH(C:C,'Fee Calc'!F:F,0))</f>
        <v>70575489.054214329</v>
      </c>
      <c r="J80" s="45">
        <f>INDEX('Fee Calc'!L:L,MATCH(C:C,'Fee Calc'!F:F,0))</f>
        <v>89284733.538729519</v>
      </c>
      <c r="K80" s="45">
        <f t="shared" si="28"/>
        <v>159860222.59294385</v>
      </c>
      <c r="L80" s="45">
        <v>53402881.689999998</v>
      </c>
      <c r="M80" s="45">
        <v>2929612.22</v>
      </c>
      <c r="N80" s="45">
        <f t="shared" si="29"/>
        <v>56332493.909999996</v>
      </c>
      <c r="O80" s="45">
        <v>68780176.594565496</v>
      </c>
      <c r="P80" s="45">
        <v>64101699.16654852</v>
      </c>
      <c r="Q80" s="45">
        <f t="shared" si="30"/>
        <v>132881875.76111402</v>
      </c>
      <c r="R80" s="45" t="str">
        <f t="shared" si="31"/>
        <v>Yes</v>
      </c>
      <c r="S80" s="46" t="str">
        <f t="shared" si="31"/>
        <v>Yes</v>
      </c>
      <c r="T80" s="47">
        <f>ROUND(INDEX(Summary!H:H,MATCH(H:H,Summary!A:A,0)),2)</f>
        <v>0.54</v>
      </c>
      <c r="U80" s="47">
        <f>ROUND(INDEX(Summary!I:I,MATCH(H:H,Summary!A:A,0)),2)</f>
        <v>0.27</v>
      </c>
      <c r="V80" s="81">
        <f t="shared" si="32"/>
        <v>38110764.08927574</v>
      </c>
      <c r="W80" s="81">
        <f t="shared" si="32"/>
        <v>24106878.05545697</v>
      </c>
      <c r="X80" s="45">
        <f t="shared" si="33"/>
        <v>62217642.144732714</v>
      </c>
      <c r="Y80" s="45" t="s">
        <v>2752</v>
      </c>
      <c r="Z80" s="45" t="str">
        <f t="shared" si="34"/>
        <v>Yes</v>
      </c>
      <c r="AA80" s="45" t="str">
        <f t="shared" si="34"/>
        <v>Yes</v>
      </c>
      <c r="AB80" s="45" t="str">
        <f t="shared" si="35"/>
        <v>Yes</v>
      </c>
      <c r="AC80" s="82">
        <f t="shared" si="36"/>
        <v>0.3</v>
      </c>
      <c r="AD80" s="82">
        <f t="shared" si="36"/>
        <v>0.31</v>
      </c>
      <c r="AE80" s="45">
        <f t="shared" si="37"/>
        <v>21172646.716264296</v>
      </c>
      <c r="AF80" s="45">
        <f t="shared" si="37"/>
        <v>27678267.39700615</v>
      </c>
      <c r="AG80" s="45">
        <f t="shared" si="38"/>
        <v>48850914.113270447</v>
      </c>
      <c r="AH80" s="47">
        <f>IFERROR(ROUNDDOWN(INDEX('90% of ACR'!K:K,MATCH(H:H,'90% of ACR'!A:A,0))*IF(I80&gt;0,IF(O80&gt;0,$R$4*MAX(O80-V80,0),0),0)/I80,2),0)</f>
        <v>0.3</v>
      </c>
      <c r="AI80" s="82">
        <f>IFERROR(ROUNDDOWN(INDEX('90% of ACR'!R:R,MATCH(H:H,'90% of ACR'!A:A,0))*IF(J80&gt;0,IF(P80&gt;0,$R$4*MAX(P80-W80,0),0),0)/J80,2),0)</f>
        <v>0.31</v>
      </c>
      <c r="AJ80" s="45">
        <f t="shared" si="39"/>
        <v>21172646.716264296</v>
      </c>
      <c r="AK80" s="45">
        <f t="shared" si="39"/>
        <v>27678267.39700615</v>
      </c>
      <c r="AL80" s="47">
        <f t="shared" si="40"/>
        <v>0.84000000000000008</v>
      </c>
      <c r="AM80" s="47">
        <f t="shared" si="40"/>
        <v>0.58000000000000007</v>
      </c>
      <c r="AN80" s="83">
        <f>IFERROR(INDEX('Fee Calc'!P:P,MATCH(C80,'Fee Calc'!F:F,0)),0)</f>
        <v>111068556.25800318</v>
      </c>
      <c r="AO80" s="83">
        <f>IFERROR(INDEX('Fee Calc'!Q:Q,MATCH(C80,'Fee Calc'!F:F,0)),0)</f>
        <v>6874880.2404031716</v>
      </c>
      <c r="AP80" s="83">
        <f t="shared" si="41"/>
        <v>117943436.49840635</v>
      </c>
      <c r="AQ80" s="70">
        <f t="shared" si="42"/>
        <v>50365621.57478746</v>
      </c>
      <c r="AR80" s="70">
        <f t="shared" si="43"/>
        <v>25182810.78739373</v>
      </c>
      <c r="AS80" s="70">
        <f t="shared" si="44"/>
        <v>25182810.78739373</v>
      </c>
    </row>
    <row r="81" spans="1:45" ht="25.5">
      <c r="A81" s="104" t="s">
        <v>1282</v>
      </c>
      <c r="B81" s="124" t="s">
        <v>1282</v>
      </c>
      <c r="C81" s="31" t="s">
        <v>1283</v>
      </c>
      <c r="D81" s="125" t="s">
        <v>1283</v>
      </c>
      <c r="E81" s="119" t="s">
        <v>2809</v>
      </c>
      <c r="F81" s="100" t="s">
        <v>2529</v>
      </c>
      <c r="G81" s="100" t="s">
        <v>227</v>
      </c>
      <c r="H81" s="43" t="str">
        <f t="shared" si="27"/>
        <v>Non-state-owned IMD MRSA West</v>
      </c>
      <c r="I81" s="45">
        <f>INDEX('Fee Calc'!M:M,MATCH(C:C,'Fee Calc'!F:F,0))</f>
        <v>1440533.553210709</v>
      </c>
      <c r="J81" s="45">
        <f>INDEX('Fee Calc'!L:L,MATCH(C:C,'Fee Calc'!F:F,0))</f>
        <v>0</v>
      </c>
      <c r="K81" s="45">
        <f t="shared" si="28"/>
        <v>1440533.553210709</v>
      </c>
      <c r="L81" s="45">
        <v>292612.5</v>
      </c>
      <c r="M81" s="45">
        <v>0</v>
      </c>
      <c r="N81" s="45">
        <f t="shared" si="29"/>
        <v>292612.5</v>
      </c>
      <c r="O81" s="45">
        <v>174848.40065528976</v>
      </c>
      <c r="P81" s="45">
        <v>0</v>
      </c>
      <c r="Q81" s="45">
        <f t="shared" si="30"/>
        <v>174848.40065528976</v>
      </c>
      <c r="R81" s="45" t="str">
        <f t="shared" si="31"/>
        <v>Yes</v>
      </c>
      <c r="S81" s="46" t="str">
        <f t="shared" si="31"/>
        <v>No</v>
      </c>
      <c r="T81" s="47">
        <f>ROUND(INDEX(Summary!H:H,MATCH(H:H,Summary!A:A,0)),2)</f>
        <v>0.17</v>
      </c>
      <c r="U81" s="47">
        <f>ROUND(INDEX(Summary!I:I,MATCH(H:H,Summary!A:A,0)),2)</f>
        <v>0</v>
      </c>
      <c r="V81" s="81">
        <f t="shared" si="32"/>
        <v>244890.70404582054</v>
      </c>
      <c r="W81" s="81">
        <f t="shared" si="32"/>
        <v>0</v>
      </c>
      <c r="X81" s="45">
        <f t="shared" si="33"/>
        <v>244890.70404582054</v>
      </c>
      <c r="Y81" s="45" t="s">
        <v>2753</v>
      </c>
      <c r="Z81" s="45" t="str">
        <f t="shared" si="34"/>
        <v>No</v>
      </c>
      <c r="AA81" s="45" t="str">
        <f t="shared" si="34"/>
        <v>No</v>
      </c>
      <c r="AB81" s="45" t="str">
        <f t="shared" si="35"/>
        <v>No</v>
      </c>
      <c r="AC81" s="82">
        <f t="shared" si="36"/>
        <v>0</v>
      </c>
      <c r="AD81" s="82">
        <f t="shared" si="36"/>
        <v>0</v>
      </c>
      <c r="AE81" s="45">
        <f t="shared" si="37"/>
        <v>0</v>
      </c>
      <c r="AF81" s="45">
        <f t="shared" si="37"/>
        <v>0</v>
      </c>
      <c r="AG81" s="45">
        <f t="shared" si="38"/>
        <v>0</v>
      </c>
      <c r="AH81" s="47">
        <f>IFERROR(ROUNDDOWN(INDEX('90% of ACR'!K:K,MATCH(H:H,'90% of ACR'!A:A,0))*IF(I81&gt;0,IF(O81&gt;0,$R$4*MAX(O81-V81,0),0),0)/I81,2),0)</f>
        <v>0</v>
      </c>
      <c r="AI81" s="82">
        <f>IFERROR(ROUNDDOWN(INDEX('90% of ACR'!R:R,MATCH(H:H,'90% of ACR'!A:A,0))*IF(J81&gt;0,IF(P81&gt;0,$R$4*MAX(P81-W81,0),0),0)/J81,2),0)</f>
        <v>0</v>
      </c>
      <c r="AJ81" s="45">
        <f t="shared" si="39"/>
        <v>0</v>
      </c>
      <c r="AK81" s="45">
        <f t="shared" si="39"/>
        <v>0</v>
      </c>
      <c r="AL81" s="47">
        <f t="shared" si="40"/>
        <v>0.17</v>
      </c>
      <c r="AM81" s="47">
        <f t="shared" si="40"/>
        <v>0</v>
      </c>
      <c r="AN81" s="83">
        <f>IFERROR(INDEX('Fee Calc'!P:P,MATCH(C81,'Fee Calc'!F:F,0)),0)</f>
        <v>244890.70404582054</v>
      </c>
      <c r="AO81" s="83">
        <f>IFERROR(INDEX('Fee Calc'!Q:Q,MATCH(C81,'Fee Calc'!F:F,0)),0)</f>
        <v>14940.281679187992</v>
      </c>
      <c r="AP81" s="83">
        <f t="shared" si="41"/>
        <v>259830.98572500853</v>
      </c>
      <c r="AQ81" s="70">
        <f t="shared" si="42"/>
        <v>110956.14549612186</v>
      </c>
      <c r="AR81" s="70">
        <f t="shared" si="43"/>
        <v>55478.072748060928</v>
      </c>
      <c r="AS81" s="70">
        <f t="shared" si="44"/>
        <v>55478.072748060928</v>
      </c>
    </row>
    <row r="82" spans="1:45" ht="25.5">
      <c r="A82" s="104" t="s">
        <v>1215</v>
      </c>
      <c r="B82" s="124" t="s">
        <v>1215</v>
      </c>
      <c r="C82" s="31" t="s">
        <v>1216</v>
      </c>
      <c r="D82" s="125" t="s">
        <v>1216</v>
      </c>
      <c r="E82" s="119" t="s">
        <v>2810</v>
      </c>
      <c r="F82" s="100" t="s">
        <v>2529</v>
      </c>
      <c r="G82" s="100" t="s">
        <v>227</v>
      </c>
      <c r="H82" s="43" t="str">
        <f t="shared" si="27"/>
        <v>Non-state-owned IMD MRSA West</v>
      </c>
      <c r="I82" s="45">
        <f>INDEX('Fee Calc'!M:M,MATCH(C:C,'Fee Calc'!F:F,0))</f>
        <v>1167249.836648138</v>
      </c>
      <c r="J82" s="45">
        <f>INDEX('Fee Calc'!L:L,MATCH(C:C,'Fee Calc'!F:F,0))</f>
        <v>0</v>
      </c>
      <c r="K82" s="45">
        <f t="shared" si="28"/>
        <v>1167249.836648138</v>
      </c>
      <c r="L82" s="45">
        <v>216947.06</v>
      </c>
      <c r="M82" s="45">
        <v>0</v>
      </c>
      <c r="N82" s="45">
        <f t="shared" si="29"/>
        <v>216947.06</v>
      </c>
      <c r="O82" s="45">
        <v>145509.08491595968</v>
      </c>
      <c r="P82" s="45">
        <v>0</v>
      </c>
      <c r="Q82" s="45">
        <f t="shared" si="30"/>
        <v>145509.08491595968</v>
      </c>
      <c r="R82" s="45" t="str">
        <f t="shared" si="31"/>
        <v>Yes</v>
      </c>
      <c r="S82" s="46" t="str">
        <f t="shared" si="31"/>
        <v>No</v>
      </c>
      <c r="T82" s="47">
        <f>ROUND(INDEX(Summary!H:H,MATCH(H:H,Summary!A:A,0)),2)</f>
        <v>0.17</v>
      </c>
      <c r="U82" s="47">
        <f>ROUND(INDEX(Summary!I:I,MATCH(H:H,Summary!A:A,0)),2)</f>
        <v>0</v>
      </c>
      <c r="V82" s="81">
        <f t="shared" si="32"/>
        <v>198432.47223018348</v>
      </c>
      <c r="W82" s="81">
        <f t="shared" si="32"/>
        <v>0</v>
      </c>
      <c r="X82" s="45">
        <f t="shared" si="33"/>
        <v>198432.47223018348</v>
      </c>
      <c r="Y82" s="45" t="s">
        <v>2753</v>
      </c>
      <c r="Z82" s="45" t="str">
        <f t="shared" si="34"/>
        <v>No</v>
      </c>
      <c r="AA82" s="45" t="str">
        <f t="shared" si="34"/>
        <v>No</v>
      </c>
      <c r="AB82" s="45" t="str">
        <f t="shared" si="35"/>
        <v>No</v>
      </c>
      <c r="AC82" s="82">
        <f t="shared" si="36"/>
        <v>0</v>
      </c>
      <c r="AD82" s="82">
        <f t="shared" si="36"/>
        <v>0</v>
      </c>
      <c r="AE82" s="45">
        <f t="shared" si="37"/>
        <v>0</v>
      </c>
      <c r="AF82" s="45">
        <f t="shared" si="37"/>
        <v>0</v>
      </c>
      <c r="AG82" s="45">
        <f t="shared" si="38"/>
        <v>0</v>
      </c>
      <c r="AH82" s="47">
        <f>IFERROR(ROUNDDOWN(INDEX('90% of ACR'!K:K,MATCH(H:H,'90% of ACR'!A:A,0))*IF(I82&gt;0,IF(O82&gt;0,$R$4*MAX(O82-V82,0),0),0)/I82,2),0)</f>
        <v>0</v>
      </c>
      <c r="AI82" s="82">
        <f>IFERROR(ROUNDDOWN(INDEX('90% of ACR'!R:R,MATCH(H:H,'90% of ACR'!A:A,0))*IF(J82&gt;0,IF(P82&gt;0,$R$4*MAX(P82-W82,0),0),0)/J82,2),0)</f>
        <v>0</v>
      </c>
      <c r="AJ82" s="45">
        <f t="shared" si="39"/>
        <v>0</v>
      </c>
      <c r="AK82" s="45">
        <f t="shared" si="39"/>
        <v>0</v>
      </c>
      <c r="AL82" s="47">
        <f t="shared" si="40"/>
        <v>0.17</v>
      </c>
      <c r="AM82" s="47">
        <f t="shared" si="40"/>
        <v>0</v>
      </c>
      <c r="AN82" s="83">
        <f>IFERROR(INDEX('Fee Calc'!P:P,MATCH(C82,'Fee Calc'!F:F,0)),0)</f>
        <v>198432.47223018348</v>
      </c>
      <c r="AO82" s="83">
        <f>IFERROR(INDEX('Fee Calc'!Q:Q,MATCH(C82,'Fee Calc'!F:F,0)),0)</f>
        <v>12105.959844281751</v>
      </c>
      <c r="AP82" s="83">
        <f t="shared" si="41"/>
        <v>210538.43207446524</v>
      </c>
      <c r="AQ82" s="70">
        <f t="shared" si="42"/>
        <v>89906.647725623043</v>
      </c>
      <c r="AR82" s="70">
        <f t="shared" si="43"/>
        <v>44953.323862811521</v>
      </c>
      <c r="AS82" s="70">
        <f t="shared" si="44"/>
        <v>44953.323862811521</v>
      </c>
    </row>
    <row r="83" spans="1:45">
      <c r="A83" s="104" t="s">
        <v>126</v>
      </c>
      <c r="B83" s="124" t="s">
        <v>126</v>
      </c>
      <c r="C83" s="31" t="s">
        <v>127</v>
      </c>
      <c r="D83" s="125" t="s">
        <v>127</v>
      </c>
      <c r="E83" s="119" t="s">
        <v>2811</v>
      </c>
      <c r="F83" s="100" t="s">
        <v>1547</v>
      </c>
      <c r="G83" s="100" t="s">
        <v>1189</v>
      </c>
      <c r="H83" s="43" t="str">
        <f t="shared" si="27"/>
        <v>Children's El Paso</v>
      </c>
      <c r="I83" s="45">
        <f>INDEX('Fee Calc'!M:M,MATCH(C:C,'Fee Calc'!F:F,0))</f>
        <v>28242081.045980513</v>
      </c>
      <c r="J83" s="45">
        <f>INDEX('Fee Calc'!L:L,MATCH(C:C,'Fee Calc'!F:F,0))</f>
        <v>5759201.4110180279</v>
      </c>
      <c r="K83" s="45">
        <f t="shared" si="28"/>
        <v>34001282.456998542</v>
      </c>
      <c r="L83" s="45">
        <v>-11456538.18</v>
      </c>
      <c r="M83" s="45">
        <v>4021902.39</v>
      </c>
      <c r="N83" s="45">
        <f t="shared" si="29"/>
        <v>-7434635.7899999991</v>
      </c>
      <c r="O83" s="45">
        <v>17126244.560703363</v>
      </c>
      <c r="P83" s="45">
        <v>15817844.386315119</v>
      </c>
      <c r="Q83" s="45">
        <f t="shared" si="30"/>
        <v>32944088.947018482</v>
      </c>
      <c r="R83" s="45" t="str">
        <f t="shared" si="31"/>
        <v>Yes</v>
      </c>
      <c r="S83" s="46" t="str">
        <f t="shared" si="31"/>
        <v>Yes</v>
      </c>
      <c r="T83" s="47">
        <f>ROUND(INDEX(Summary!H:H,MATCH(H:H,Summary!A:A,0)),2)</f>
        <v>0</v>
      </c>
      <c r="U83" s="47">
        <f>ROUND(INDEX(Summary!I:I,MATCH(H:H,Summary!A:A,0)),2)</f>
        <v>0.7</v>
      </c>
      <c r="V83" s="81">
        <f t="shared" si="32"/>
        <v>0</v>
      </c>
      <c r="W83" s="81">
        <f t="shared" si="32"/>
        <v>4031440.9877126194</v>
      </c>
      <c r="X83" s="45">
        <f t="shared" si="33"/>
        <v>4031440.9877126194</v>
      </c>
      <c r="Y83" s="45" t="s">
        <v>2752</v>
      </c>
      <c r="Z83" s="45" t="str">
        <f t="shared" si="34"/>
        <v>Yes</v>
      </c>
      <c r="AA83" s="45" t="str">
        <f t="shared" si="34"/>
        <v>Yes</v>
      </c>
      <c r="AB83" s="45" t="str">
        <f t="shared" si="35"/>
        <v>Yes</v>
      </c>
      <c r="AC83" s="82">
        <f t="shared" si="36"/>
        <v>0.42</v>
      </c>
      <c r="AD83" s="82">
        <f t="shared" si="36"/>
        <v>1.43</v>
      </c>
      <c r="AE83" s="45">
        <f t="shared" si="37"/>
        <v>11861674.039311815</v>
      </c>
      <c r="AF83" s="45">
        <f t="shared" si="37"/>
        <v>8235658.0177557794</v>
      </c>
      <c r="AG83" s="45">
        <f t="shared" si="38"/>
        <v>20097332.057067595</v>
      </c>
      <c r="AH83" s="47">
        <f>IFERROR(ROUNDDOWN(INDEX('90% of ACR'!K:K,MATCH(H:H,'90% of ACR'!A:A,0))*IF(I83&gt;0,IF(O83&gt;0,$R$4*MAX(O83-V83,0),0),0)/I83,2),0)</f>
        <v>0.42</v>
      </c>
      <c r="AI83" s="82">
        <f>IFERROR(ROUNDDOWN(INDEX('90% of ACR'!R:R,MATCH(H:H,'90% of ACR'!A:A,0))*IF(J83&gt;0,IF(P83&gt;0,$R$4*MAX(P83-W83,0),0),0)/J83,2),0)</f>
        <v>1.42</v>
      </c>
      <c r="AJ83" s="45">
        <f t="shared" si="39"/>
        <v>11861674.039311815</v>
      </c>
      <c r="AK83" s="45">
        <f t="shared" si="39"/>
        <v>8178066.0036455989</v>
      </c>
      <c r="AL83" s="47">
        <f t="shared" si="40"/>
        <v>0.42</v>
      </c>
      <c r="AM83" s="47">
        <f t="shared" si="40"/>
        <v>2.12</v>
      </c>
      <c r="AN83" s="83">
        <f>IFERROR(INDEX('Fee Calc'!P:P,MATCH(C83,'Fee Calc'!F:F,0)),0)</f>
        <v>24071181.030670036</v>
      </c>
      <c r="AO83" s="83">
        <f>IFERROR(INDEX('Fee Calc'!Q:Q,MATCH(C83,'Fee Calc'!F:F,0)),0)</f>
        <v>1468852.1406388697</v>
      </c>
      <c r="AP83" s="83">
        <f t="shared" si="41"/>
        <v>25540033.171308905</v>
      </c>
      <c r="AQ83" s="70">
        <f t="shared" si="42"/>
        <v>10906411.445210384</v>
      </c>
      <c r="AR83" s="70">
        <f t="shared" si="43"/>
        <v>5453205.7226051921</v>
      </c>
      <c r="AS83" s="70">
        <f t="shared" si="44"/>
        <v>5453205.7226051921</v>
      </c>
    </row>
    <row r="84" spans="1:45">
      <c r="A84" s="104" t="s">
        <v>1549</v>
      </c>
      <c r="B84" s="124" t="s">
        <v>1549</v>
      </c>
      <c r="C84" s="31" t="s">
        <v>109</v>
      </c>
      <c r="D84" s="125" t="s">
        <v>109</v>
      </c>
      <c r="E84" s="119" t="s">
        <v>2418</v>
      </c>
      <c r="F84" s="100" t="s">
        <v>2279</v>
      </c>
      <c r="G84" s="100" t="s">
        <v>223</v>
      </c>
      <c r="H84" s="43" t="str">
        <f t="shared" si="27"/>
        <v>Urban Dallas</v>
      </c>
      <c r="I84" s="45">
        <f>INDEX('Fee Calc'!M:M,MATCH(C:C,'Fee Calc'!F:F,0))</f>
        <v>45686150.930572316</v>
      </c>
      <c r="J84" s="45">
        <f>INDEX('Fee Calc'!L:L,MATCH(C:C,'Fee Calc'!F:F,0))</f>
        <v>7000825.1788417399</v>
      </c>
      <c r="K84" s="45">
        <f t="shared" si="28"/>
        <v>52686976.109414056</v>
      </c>
      <c r="L84" s="45">
        <v>13629951.17</v>
      </c>
      <c r="M84" s="45">
        <v>4815257.8600000003</v>
      </c>
      <c r="N84" s="45">
        <f t="shared" si="29"/>
        <v>18445209.030000001</v>
      </c>
      <c r="O84" s="45">
        <v>117556578.77979976</v>
      </c>
      <c r="P84" s="45">
        <v>7656603.6813832726</v>
      </c>
      <c r="Q84" s="45">
        <f t="shared" si="30"/>
        <v>125213182.46118303</v>
      </c>
      <c r="R84" s="45" t="str">
        <f t="shared" si="31"/>
        <v>Yes</v>
      </c>
      <c r="S84" s="46" t="str">
        <f t="shared" si="31"/>
        <v>Yes</v>
      </c>
      <c r="T84" s="47">
        <f>ROUND(INDEX(Summary!H:H,MATCH(H:H,Summary!A:A,0)),2)</f>
        <v>0.54</v>
      </c>
      <c r="U84" s="47">
        <f>ROUND(INDEX(Summary!I:I,MATCH(H:H,Summary!A:A,0)),2)</f>
        <v>0.27</v>
      </c>
      <c r="V84" s="81">
        <f t="shared" si="32"/>
        <v>24670521.502509054</v>
      </c>
      <c r="W84" s="81">
        <f t="shared" si="32"/>
        <v>1890222.7982872699</v>
      </c>
      <c r="X84" s="45">
        <f t="shared" si="33"/>
        <v>26560744.300796323</v>
      </c>
      <c r="Y84" s="45" t="s">
        <v>2752</v>
      </c>
      <c r="Z84" s="45" t="str">
        <f t="shared" si="34"/>
        <v>Yes</v>
      </c>
      <c r="AA84" s="45" t="str">
        <f t="shared" si="34"/>
        <v>Yes</v>
      </c>
      <c r="AB84" s="45" t="str">
        <f t="shared" si="35"/>
        <v>Yes</v>
      </c>
      <c r="AC84" s="82">
        <f t="shared" si="36"/>
        <v>1.42</v>
      </c>
      <c r="AD84" s="82">
        <f t="shared" si="36"/>
        <v>0.56999999999999995</v>
      </c>
      <c r="AE84" s="45">
        <f t="shared" si="37"/>
        <v>64874334.321412683</v>
      </c>
      <c r="AF84" s="45">
        <f t="shared" si="37"/>
        <v>3990470.3519397913</v>
      </c>
      <c r="AG84" s="45">
        <f t="shared" si="38"/>
        <v>68864804.67335248</v>
      </c>
      <c r="AH84" s="47">
        <f>IFERROR(ROUNDDOWN(INDEX('90% of ACR'!K:K,MATCH(H:H,'90% of ACR'!A:A,0))*IF(I84&gt;0,IF(O84&gt;0,$R$4*MAX(O84-V84,0),0),0)/I84,2),0)</f>
        <v>1.41</v>
      </c>
      <c r="AI84" s="82">
        <f>IFERROR(ROUNDDOWN(INDEX('90% of ACR'!R:R,MATCH(H:H,'90% of ACR'!A:A,0))*IF(J84&gt;0,IF(P84&gt;0,$R$4*MAX(P84-W84,0),0),0)/J84,2),0)</f>
        <v>0.56999999999999995</v>
      </c>
      <c r="AJ84" s="45">
        <f t="shared" si="39"/>
        <v>64417472.81210696</v>
      </c>
      <c r="AK84" s="45">
        <f t="shared" si="39"/>
        <v>3990470.3519397913</v>
      </c>
      <c r="AL84" s="47">
        <f t="shared" si="40"/>
        <v>1.95</v>
      </c>
      <c r="AM84" s="47">
        <f t="shared" si="40"/>
        <v>0.84</v>
      </c>
      <c r="AN84" s="83">
        <f>IFERROR(INDEX('Fee Calc'!P:P,MATCH(C84,'Fee Calc'!F:F,0)),0)</f>
        <v>94968687.464843065</v>
      </c>
      <c r="AO84" s="83">
        <f>IFERROR(INDEX('Fee Calc'!Q:Q,MATCH(C84,'Fee Calc'!F:F,0)),0)</f>
        <v>5851677.5138952518</v>
      </c>
      <c r="AP84" s="83">
        <f t="shared" si="41"/>
        <v>100820364.97873832</v>
      </c>
      <c r="AQ84" s="70">
        <f t="shared" si="42"/>
        <v>43053522.097600587</v>
      </c>
      <c r="AR84" s="70">
        <f t="shared" si="43"/>
        <v>21526761.048800293</v>
      </c>
      <c r="AS84" s="70">
        <f t="shared" si="44"/>
        <v>21526761.048800293</v>
      </c>
    </row>
    <row r="85" spans="1:45">
      <c r="A85" s="104" t="s">
        <v>629</v>
      </c>
      <c r="B85" s="124" t="s">
        <v>629</v>
      </c>
      <c r="C85" s="31" t="s">
        <v>630</v>
      </c>
      <c r="D85" s="125" t="s">
        <v>630</v>
      </c>
      <c r="E85" s="119" t="s">
        <v>2414</v>
      </c>
      <c r="F85" s="100" t="s">
        <v>2279</v>
      </c>
      <c r="G85" s="100" t="s">
        <v>223</v>
      </c>
      <c r="H85" s="43" t="str">
        <f t="shared" si="27"/>
        <v>Urban Dallas</v>
      </c>
      <c r="I85" s="45">
        <f>INDEX('Fee Calc'!M:M,MATCH(C:C,'Fee Calc'!F:F,0))</f>
        <v>5027473.7369717611</v>
      </c>
      <c r="J85" s="45">
        <f>INDEX('Fee Calc'!L:L,MATCH(C:C,'Fee Calc'!F:F,0))</f>
        <v>1251665.694613595</v>
      </c>
      <c r="K85" s="45">
        <f t="shared" si="28"/>
        <v>6279139.4315853566</v>
      </c>
      <c r="L85" s="45">
        <v>1759392.17</v>
      </c>
      <c r="M85" s="45">
        <v>269547.94</v>
      </c>
      <c r="N85" s="45">
        <f t="shared" si="29"/>
        <v>2028940.1099999999</v>
      </c>
      <c r="O85" s="45">
        <v>6952675.6440171869</v>
      </c>
      <c r="P85" s="45">
        <v>930432.16722636274</v>
      </c>
      <c r="Q85" s="45">
        <f t="shared" si="30"/>
        <v>7883107.8112435499</v>
      </c>
      <c r="R85" s="45" t="str">
        <f t="shared" si="31"/>
        <v>Yes</v>
      </c>
      <c r="S85" s="46" t="str">
        <f t="shared" si="31"/>
        <v>Yes</v>
      </c>
      <c r="T85" s="47">
        <f>ROUND(INDEX(Summary!H:H,MATCH(H:H,Summary!A:A,0)),2)</f>
        <v>0.54</v>
      </c>
      <c r="U85" s="47">
        <f>ROUND(INDEX(Summary!I:I,MATCH(H:H,Summary!A:A,0)),2)</f>
        <v>0.27</v>
      </c>
      <c r="V85" s="81">
        <f t="shared" si="32"/>
        <v>2714835.8179647513</v>
      </c>
      <c r="W85" s="81">
        <f t="shared" si="32"/>
        <v>337949.73754567071</v>
      </c>
      <c r="X85" s="45">
        <f t="shared" si="33"/>
        <v>3052785.5555104222</v>
      </c>
      <c r="Y85" s="45" t="s">
        <v>2752</v>
      </c>
      <c r="Z85" s="45" t="str">
        <f t="shared" si="34"/>
        <v>Yes</v>
      </c>
      <c r="AA85" s="45" t="str">
        <f t="shared" si="34"/>
        <v>Yes</v>
      </c>
      <c r="AB85" s="45" t="str">
        <f t="shared" si="35"/>
        <v>Yes</v>
      </c>
      <c r="AC85" s="82">
        <f t="shared" si="36"/>
        <v>0.59</v>
      </c>
      <c r="AD85" s="82">
        <f t="shared" si="36"/>
        <v>0.33</v>
      </c>
      <c r="AE85" s="45">
        <f t="shared" si="37"/>
        <v>2966209.5048133391</v>
      </c>
      <c r="AF85" s="45">
        <f t="shared" si="37"/>
        <v>413049.67922248639</v>
      </c>
      <c r="AG85" s="45">
        <f t="shared" si="38"/>
        <v>3379259.1840358255</v>
      </c>
      <c r="AH85" s="47">
        <f>IFERROR(ROUNDDOWN(INDEX('90% of ACR'!K:K,MATCH(H:H,'90% of ACR'!A:A,0))*IF(I85&gt;0,IF(O85&gt;0,$R$4*MAX(O85-V85,0),0),0)/I85,2),0)</f>
        <v>0.57999999999999996</v>
      </c>
      <c r="AI85" s="82">
        <f>IFERROR(ROUNDDOWN(INDEX('90% of ACR'!R:R,MATCH(H:H,'90% of ACR'!A:A,0))*IF(J85&gt;0,IF(P85&gt;0,$R$4*MAX(P85-W85,0),0),0)/J85,2),0)</f>
        <v>0.32</v>
      </c>
      <c r="AJ85" s="45">
        <f t="shared" si="39"/>
        <v>2915934.7674436211</v>
      </c>
      <c r="AK85" s="45">
        <f t="shared" si="39"/>
        <v>400533.02227635041</v>
      </c>
      <c r="AL85" s="47">
        <f t="shared" si="40"/>
        <v>1.1200000000000001</v>
      </c>
      <c r="AM85" s="47">
        <f t="shared" si="40"/>
        <v>0.59000000000000008</v>
      </c>
      <c r="AN85" s="83">
        <f>IFERROR(INDEX('Fee Calc'!P:P,MATCH(C85,'Fee Calc'!F:F,0)),0)</f>
        <v>6369253.345230394</v>
      </c>
      <c r="AO85" s="83">
        <f>IFERROR(INDEX('Fee Calc'!Q:Q,MATCH(C85,'Fee Calc'!F:F,0)),0)</f>
        <v>390092.34861575958</v>
      </c>
      <c r="AP85" s="83">
        <f t="shared" si="41"/>
        <v>6759345.693846154</v>
      </c>
      <c r="AQ85" s="70">
        <f t="shared" si="42"/>
        <v>2886456.9103345107</v>
      </c>
      <c r="AR85" s="70">
        <f t="shared" si="43"/>
        <v>1443228.4551672554</v>
      </c>
      <c r="AS85" s="70">
        <f t="shared" si="44"/>
        <v>1443228.4551672554</v>
      </c>
    </row>
    <row r="86" spans="1:45" ht="25.5">
      <c r="A86" s="104" t="s">
        <v>1250</v>
      </c>
      <c r="B86" s="124" t="s">
        <v>1250</v>
      </c>
      <c r="C86" s="31" t="s">
        <v>1251</v>
      </c>
      <c r="D86" s="125" t="s">
        <v>1251</v>
      </c>
      <c r="E86" s="119" t="s">
        <v>2415</v>
      </c>
      <c r="F86" s="100" t="s">
        <v>2529</v>
      </c>
      <c r="G86" s="100" t="s">
        <v>223</v>
      </c>
      <c r="H86" s="43" t="str">
        <f t="shared" si="27"/>
        <v>Non-state-owned IMD Dallas</v>
      </c>
      <c r="I86" s="45">
        <f>INDEX('Fee Calc'!M:M,MATCH(C:C,'Fee Calc'!F:F,0))</f>
        <v>728535.90859642206</v>
      </c>
      <c r="J86" s="45">
        <f>INDEX('Fee Calc'!L:L,MATCH(C:C,'Fee Calc'!F:F,0))</f>
        <v>0</v>
      </c>
      <c r="K86" s="45">
        <f t="shared" si="28"/>
        <v>728535.90859642206</v>
      </c>
      <c r="L86" s="45">
        <v>278605.28000000003</v>
      </c>
      <c r="M86" s="45">
        <v>0</v>
      </c>
      <c r="N86" s="45">
        <f t="shared" si="29"/>
        <v>278605.28000000003</v>
      </c>
      <c r="O86" s="45">
        <v>848470.10733081948</v>
      </c>
      <c r="P86" s="45">
        <v>0</v>
      </c>
      <c r="Q86" s="45">
        <f t="shared" si="30"/>
        <v>848470.10733081948</v>
      </c>
      <c r="R86" s="45" t="str">
        <f t="shared" si="31"/>
        <v>Yes</v>
      </c>
      <c r="S86" s="46" t="str">
        <f t="shared" si="31"/>
        <v>No</v>
      </c>
      <c r="T86" s="47">
        <f>ROUND(INDEX(Summary!H:H,MATCH(H:H,Summary!A:A,0)),2)</f>
        <v>0.26</v>
      </c>
      <c r="U86" s="47">
        <f>ROUND(INDEX(Summary!I:I,MATCH(H:H,Summary!A:A,0)),2)</f>
        <v>0</v>
      </c>
      <c r="V86" s="81">
        <f t="shared" si="32"/>
        <v>189419.33623506973</v>
      </c>
      <c r="W86" s="81">
        <f t="shared" si="32"/>
        <v>0</v>
      </c>
      <c r="X86" s="45">
        <f t="shared" si="33"/>
        <v>189419.33623506973</v>
      </c>
      <c r="Y86" s="45" t="s">
        <v>2752</v>
      </c>
      <c r="Z86" s="45" t="str">
        <f t="shared" si="34"/>
        <v>No</v>
      </c>
      <c r="AA86" s="45" t="str">
        <f t="shared" si="34"/>
        <v>No</v>
      </c>
      <c r="AB86" s="45" t="str">
        <f t="shared" si="35"/>
        <v>Yes</v>
      </c>
      <c r="AC86" s="82">
        <f t="shared" si="36"/>
        <v>0.63</v>
      </c>
      <c r="AD86" s="82">
        <f t="shared" si="36"/>
        <v>0</v>
      </c>
      <c r="AE86" s="45">
        <f t="shared" si="37"/>
        <v>458977.62241574592</v>
      </c>
      <c r="AF86" s="45">
        <f t="shared" si="37"/>
        <v>0</v>
      </c>
      <c r="AG86" s="45">
        <f t="shared" si="38"/>
        <v>458977.62241574592</v>
      </c>
      <c r="AH86" s="47">
        <f>IFERROR(ROUNDDOWN(INDEX('90% of ACR'!K:K,MATCH(H:H,'90% of ACR'!A:A,0))*IF(I86&gt;0,IF(O86&gt;0,$R$4*MAX(O86-V86,0),0),0)/I86,2),0)</f>
        <v>0</v>
      </c>
      <c r="AI86" s="82">
        <f>IFERROR(ROUNDDOWN(INDEX('90% of ACR'!R:R,MATCH(H:H,'90% of ACR'!A:A,0))*IF(J86&gt;0,IF(P86&gt;0,$R$4*MAX(P86-W86,0),0),0)/J86,2),0)</f>
        <v>0</v>
      </c>
      <c r="AJ86" s="45">
        <f t="shared" si="39"/>
        <v>0</v>
      </c>
      <c r="AK86" s="45">
        <f t="shared" si="39"/>
        <v>0</v>
      </c>
      <c r="AL86" s="47">
        <f t="shared" si="40"/>
        <v>0.26</v>
      </c>
      <c r="AM86" s="47">
        <f t="shared" si="40"/>
        <v>0</v>
      </c>
      <c r="AN86" s="83">
        <f>IFERROR(INDEX('Fee Calc'!P:P,MATCH(C86,'Fee Calc'!F:F,0)),0)</f>
        <v>189419.33623506973</v>
      </c>
      <c r="AO86" s="83">
        <f>IFERROR(INDEX('Fee Calc'!Q:Q,MATCH(C86,'Fee Calc'!F:F,0)),0)</f>
        <v>11556.086826012213</v>
      </c>
      <c r="AP86" s="83">
        <f t="shared" si="41"/>
        <v>200975.42306108194</v>
      </c>
      <c r="AQ86" s="70">
        <f t="shared" si="42"/>
        <v>85822.936860619928</v>
      </c>
      <c r="AR86" s="70">
        <f t="shared" si="43"/>
        <v>42911.468430309964</v>
      </c>
      <c r="AS86" s="70">
        <f t="shared" si="44"/>
        <v>42911.468430309964</v>
      </c>
    </row>
    <row r="87" spans="1:45">
      <c r="A87" s="104" t="s">
        <v>162</v>
      </c>
      <c r="B87" s="124" t="s">
        <v>162</v>
      </c>
      <c r="C87" s="31" t="s">
        <v>163</v>
      </c>
      <c r="D87" s="125" t="s">
        <v>163</v>
      </c>
      <c r="E87" s="119" t="s">
        <v>2812</v>
      </c>
      <c r="F87" s="100" t="s">
        <v>2279</v>
      </c>
      <c r="G87" s="100" t="s">
        <v>1514</v>
      </c>
      <c r="H87" s="43" t="str">
        <f t="shared" si="27"/>
        <v>Urban Hidalgo</v>
      </c>
      <c r="I87" s="45">
        <f>INDEX('Fee Calc'!M:M,MATCH(C:C,'Fee Calc'!F:F,0))</f>
        <v>3930696.2717868099</v>
      </c>
      <c r="J87" s="45">
        <f>INDEX('Fee Calc'!L:L,MATCH(C:C,'Fee Calc'!F:F,0))</f>
        <v>2335005.1719465801</v>
      </c>
      <c r="K87" s="45">
        <f t="shared" si="28"/>
        <v>6265701.4437333904</v>
      </c>
      <c r="L87" s="45">
        <v>2967087</v>
      </c>
      <c r="M87" s="45">
        <v>3822175.78</v>
      </c>
      <c r="N87" s="45">
        <f t="shared" si="29"/>
        <v>6789262.7799999993</v>
      </c>
      <c r="O87" s="45">
        <v>2600795.857429985</v>
      </c>
      <c r="P87" s="45">
        <v>3462380.7049236763</v>
      </c>
      <c r="Q87" s="45">
        <f t="shared" si="30"/>
        <v>6063176.5623536613</v>
      </c>
      <c r="R87" s="45" t="str">
        <f t="shared" si="31"/>
        <v>Yes</v>
      </c>
      <c r="S87" s="46" t="str">
        <f t="shared" si="31"/>
        <v>Yes</v>
      </c>
      <c r="T87" s="47">
        <f>ROUND(INDEX(Summary!H:H,MATCH(H:H,Summary!A:A,0)),2)</f>
        <v>0.63</v>
      </c>
      <c r="U87" s="47">
        <f>ROUND(INDEX(Summary!I:I,MATCH(H:H,Summary!A:A,0)),2)</f>
        <v>0.48</v>
      </c>
      <c r="V87" s="81">
        <f t="shared" si="32"/>
        <v>2476338.6512256903</v>
      </c>
      <c r="W87" s="81">
        <f t="shared" si="32"/>
        <v>1120802.4825343583</v>
      </c>
      <c r="X87" s="45">
        <f t="shared" si="33"/>
        <v>3597141.1337600485</v>
      </c>
      <c r="Y87" s="45" t="s">
        <v>2752</v>
      </c>
      <c r="Z87" s="45" t="str">
        <f t="shared" si="34"/>
        <v>Yes</v>
      </c>
      <c r="AA87" s="45" t="str">
        <f t="shared" si="34"/>
        <v>Yes</v>
      </c>
      <c r="AB87" s="45" t="str">
        <f t="shared" si="35"/>
        <v>Yes</v>
      </c>
      <c r="AC87" s="82">
        <f t="shared" si="36"/>
        <v>0.02</v>
      </c>
      <c r="AD87" s="82">
        <f t="shared" si="36"/>
        <v>0.7</v>
      </c>
      <c r="AE87" s="45">
        <f t="shared" si="37"/>
        <v>78613.925435736193</v>
      </c>
      <c r="AF87" s="45">
        <f t="shared" si="37"/>
        <v>1634503.6203626059</v>
      </c>
      <c r="AG87" s="45">
        <f t="shared" si="38"/>
        <v>1713117.5457983422</v>
      </c>
      <c r="AH87" s="47">
        <f>IFERROR(ROUNDDOWN(INDEX('90% of ACR'!K:K,MATCH(H:H,'90% of ACR'!A:A,0))*IF(I87&gt;0,IF(O87&gt;0,$R$4*MAX(O87-V87,0),0),0)/I87,2),0)</f>
        <v>0.02</v>
      </c>
      <c r="AI87" s="82">
        <f>IFERROR(ROUNDDOWN(INDEX('90% of ACR'!R:R,MATCH(H:H,'90% of ACR'!A:A,0))*IF(J87&gt;0,IF(P87&gt;0,$R$4*MAX(P87-W87,0),0),0)/J87,2),0)</f>
        <v>0.67</v>
      </c>
      <c r="AJ87" s="45">
        <f t="shared" si="39"/>
        <v>78613.925435736193</v>
      </c>
      <c r="AK87" s="45">
        <f t="shared" si="39"/>
        <v>1564453.4652042086</v>
      </c>
      <c r="AL87" s="47">
        <f t="shared" si="40"/>
        <v>0.65</v>
      </c>
      <c r="AM87" s="47">
        <f t="shared" si="40"/>
        <v>1.1499999999999999</v>
      </c>
      <c r="AN87" s="83">
        <f>IFERROR(INDEX('Fee Calc'!P:P,MATCH(C87,'Fee Calc'!F:F,0)),0)</f>
        <v>5240208.5243999939</v>
      </c>
      <c r="AO87" s="83">
        <f>IFERROR(INDEX('Fee Calc'!Q:Q,MATCH(C87,'Fee Calc'!F:F,0)),0)</f>
        <v>322134.41279508156</v>
      </c>
      <c r="AP87" s="83">
        <f t="shared" si="41"/>
        <v>5562342.9371950757</v>
      </c>
      <c r="AQ87" s="70">
        <f t="shared" si="42"/>
        <v>2375298.4291562876</v>
      </c>
      <c r="AR87" s="70">
        <f t="shared" si="43"/>
        <v>1187649.2145781438</v>
      </c>
      <c r="AS87" s="70">
        <f t="shared" si="44"/>
        <v>1187649.2145781438</v>
      </c>
    </row>
    <row r="88" spans="1:45">
      <c r="A88" s="104" t="s">
        <v>1086</v>
      </c>
      <c r="B88" s="124" t="s">
        <v>1086</v>
      </c>
      <c r="C88" s="31" t="s">
        <v>1087</v>
      </c>
      <c r="D88" s="125" t="s">
        <v>1087</v>
      </c>
      <c r="E88" s="119" t="s">
        <v>2813</v>
      </c>
      <c r="F88" s="100" t="s">
        <v>2291</v>
      </c>
      <c r="G88" s="100" t="s">
        <v>1526</v>
      </c>
      <c r="H88" s="43" t="str">
        <f t="shared" si="27"/>
        <v>Rural Lubbock</v>
      </c>
      <c r="I88" s="45">
        <f>INDEX('Fee Calc'!M:M,MATCH(C:C,'Fee Calc'!F:F,0))</f>
        <v>465632.61186639516</v>
      </c>
      <c r="J88" s="45">
        <f>INDEX('Fee Calc'!L:L,MATCH(C:C,'Fee Calc'!F:F,0))</f>
        <v>861665.71864281199</v>
      </c>
      <c r="K88" s="45">
        <f t="shared" si="28"/>
        <v>1327298.3305092072</v>
      </c>
      <c r="L88" s="45">
        <v>613764.38</v>
      </c>
      <c r="M88" s="45">
        <v>260297.63</v>
      </c>
      <c r="N88" s="45">
        <f t="shared" si="29"/>
        <v>874062.01</v>
      </c>
      <c r="O88" s="45">
        <v>344329.82892593334</v>
      </c>
      <c r="P88" s="45">
        <v>348941.20713208109</v>
      </c>
      <c r="Q88" s="45">
        <f t="shared" si="30"/>
        <v>693271.03605801449</v>
      </c>
      <c r="R88" s="45" t="str">
        <f t="shared" si="31"/>
        <v>Yes</v>
      </c>
      <c r="S88" s="46" t="str">
        <f t="shared" si="31"/>
        <v>Yes</v>
      </c>
      <c r="T88" s="47">
        <f>ROUND(INDEX(Summary!H:H,MATCH(H:H,Summary!A:A,0)),2)</f>
        <v>0.49</v>
      </c>
      <c r="U88" s="47">
        <f>ROUND(INDEX(Summary!I:I,MATCH(H:H,Summary!A:A,0)),2)</f>
        <v>0.18</v>
      </c>
      <c r="V88" s="81">
        <f t="shared" si="32"/>
        <v>228159.97981453364</v>
      </c>
      <c r="W88" s="81">
        <f t="shared" si="32"/>
        <v>155099.82935570614</v>
      </c>
      <c r="X88" s="45">
        <f t="shared" si="33"/>
        <v>383259.80917023978</v>
      </c>
      <c r="Y88" s="45" t="s">
        <v>2752</v>
      </c>
      <c r="Z88" s="45" t="str">
        <f t="shared" si="34"/>
        <v>No</v>
      </c>
      <c r="AA88" s="45" t="str">
        <f t="shared" si="34"/>
        <v>Yes</v>
      </c>
      <c r="AB88" s="45" t="str">
        <f t="shared" si="35"/>
        <v>Yes</v>
      </c>
      <c r="AC88" s="82">
        <f t="shared" si="36"/>
        <v>0.17</v>
      </c>
      <c r="AD88" s="82">
        <f t="shared" si="36"/>
        <v>0.16</v>
      </c>
      <c r="AE88" s="45">
        <f t="shared" si="37"/>
        <v>79157.544017287189</v>
      </c>
      <c r="AF88" s="45">
        <f t="shared" si="37"/>
        <v>137866.51498284991</v>
      </c>
      <c r="AG88" s="45">
        <f t="shared" si="38"/>
        <v>217024.05900013709</v>
      </c>
      <c r="AH88" s="47">
        <f>IFERROR(ROUNDDOWN(INDEX('90% of ACR'!K:K,MATCH(H:H,'90% of ACR'!A:A,0))*IF(I88&gt;0,IF(O88&gt;0,$R$4*MAX(O88-V88,0),0),0)/I88,2),0)</f>
        <v>0</v>
      </c>
      <c r="AI88" s="82">
        <f>IFERROR(ROUNDDOWN(INDEX('90% of ACR'!R:R,MATCH(H:H,'90% of ACR'!A:A,0))*IF(J88&gt;0,IF(P88&gt;0,$R$4*MAX(P88-W88,0),0),0)/J88,2),0)</f>
        <v>0.12</v>
      </c>
      <c r="AJ88" s="45">
        <f t="shared" si="39"/>
        <v>0</v>
      </c>
      <c r="AK88" s="45">
        <f t="shared" si="39"/>
        <v>103399.88623713744</v>
      </c>
      <c r="AL88" s="47">
        <f t="shared" si="40"/>
        <v>0.49</v>
      </c>
      <c r="AM88" s="47">
        <f t="shared" si="40"/>
        <v>0.3</v>
      </c>
      <c r="AN88" s="83">
        <f>IFERROR(INDEX('Fee Calc'!P:P,MATCH(C88,'Fee Calc'!F:F,0)),0)</f>
        <v>486659.69540737721</v>
      </c>
      <c r="AO88" s="83">
        <f>IFERROR(INDEX('Fee Calc'!Q:Q,MATCH(C88,'Fee Calc'!F:F,0)),0)</f>
        <v>29929.698498964619</v>
      </c>
      <c r="AP88" s="83">
        <f t="shared" si="41"/>
        <v>516589.39390634181</v>
      </c>
      <c r="AQ88" s="70">
        <f t="shared" si="42"/>
        <v>220600.20205861295</v>
      </c>
      <c r="AR88" s="70">
        <f t="shared" si="43"/>
        <v>110300.10102930648</v>
      </c>
      <c r="AS88" s="70">
        <f t="shared" si="44"/>
        <v>110300.10102930648</v>
      </c>
    </row>
    <row r="89" spans="1:45">
      <c r="A89" s="104" t="s">
        <v>1375</v>
      </c>
      <c r="B89" s="124" t="s">
        <v>1375</v>
      </c>
      <c r="C89" s="31" t="s">
        <v>1376</v>
      </c>
      <c r="D89" s="125" t="s">
        <v>1376</v>
      </c>
      <c r="E89" s="119" t="s">
        <v>2814</v>
      </c>
      <c r="F89" s="100" t="s">
        <v>2291</v>
      </c>
      <c r="G89" s="100" t="s">
        <v>227</v>
      </c>
      <c r="H89" s="43" t="str">
        <f t="shared" si="27"/>
        <v>Rural MRSA West</v>
      </c>
      <c r="I89" s="45">
        <f>INDEX('Fee Calc'!M:M,MATCH(C:C,'Fee Calc'!F:F,0))</f>
        <v>2272776.1201978149</v>
      </c>
      <c r="J89" s="45">
        <f>INDEX('Fee Calc'!L:L,MATCH(C:C,'Fee Calc'!F:F,0))</f>
        <v>2102931.5981346788</v>
      </c>
      <c r="K89" s="45">
        <f t="shared" si="28"/>
        <v>4375707.7183324937</v>
      </c>
      <c r="L89" s="45">
        <v>-310963.11</v>
      </c>
      <c r="M89" s="45">
        <v>272151</v>
      </c>
      <c r="N89" s="45">
        <f t="shared" si="29"/>
        <v>-38812.109999999986</v>
      </c>
      <c r="O89" s="45">
        <v>649972.61345053115</v>
      </c>
      <c r="P89" s="45">
        <v>1529362.061211633</v>
      </c>
      <c r="Q89" s="45">
        <f t="shared" si="30"/>
        <v>2179334.6746621644</v>
      </c>
      <c r="R89" s="45" t="str">
        <f t="shared" si="31"/>
        <v>Yes</v>
      </c>
      <c r="S89" s="46" t="str">
        <f t="shared" si="31"/>
        <v>Yes</v>
      </c>
      <c r="T89" s="47">
        <f>ROUND(INDEX(Summary!H:H,MATCH(H:H,Summary!A:A,0)),2)</f>
        <v>0</v>
      </c>
      <c r="U89" s="47">
        <f>ROUND(INDEX(Summary!I:I,MATCH(H:H,Summary!A:A,0)),2)</f>
        <v>0.2</v>
      </c>
      <c r="V89" s="81">
        <f t="shared" si="32"/>
        <v>0</v>
      </c>
      <c r="W89" s="81">
        <f t="shared" si="32"/>
        <v>420586.31962693576</v>
      </c>
      <c r="X89" s="45">
        <f t="shared" si="33"/>
        <v>420586.31962693576</v>
      </c>
      <c r="Y89" s="45" t="s">
        <v>2752</v>
      </c>
      <c r="Z89" s="45" t="str">
        <f t="shared" si="34"/>
        <v>No</v>
      </c>
      <c r="AA89" s="45" t="str">
        <f t="shared" si="34"/>
        <v>Yes</v>
      </c>
      <c r="AB89" s="45" t="str">
        <f t="shared" si="35"/>
        <v>Yes</v>
      </c>
      <c r="AC89" s="82">
        <f t="shared" si="36"/>
        <v>0.2</v>
      </c>
      <c r="AD89" s="82">
        <f t="shared" si="36"/>
        <v>0.37</v>
      </c>
      <c r="AE89" s="45">
        <f t="shared" si="37"/>
        <v>454555.22403956298</v>
      </c>
      <c r="AF89" s="45">
        <f t="shared" si="37"/>
        <v>778084.69130983111</v>
      </c>
      <c r="AG89" s="45">
        <f t="shared" si="38"/>
        <v>1232639.9153493941</v>
      </c>
      <c r="AH89" s="47">
        <f>IFERROR(ROUNDDOWN(INDEX('90% of ACR'!K:K,MATCH(H:H,'90% of ACR'!A:A,0))*IF(I89&gt;0,IF(O89&gt;0,$R$4*MAX(O89-V89,0),0),0)/I89,2),0)</f>
        <v>0</v>
      </c>
      <c r="AI89" s="82">
        <f>IFERROR(ROUNDDOWN(INDEX('90% of ACR'!R:R,MATCH(H:H,'90% of ACR'!A:A,0))*IF(J89&gt;0,IF(P89&gt;0,$R$4*MAX(P89-W89,0),0),0)/J89,2),0)</f>
        <v>0.32</v>
      </c>
      <c r="AJ89" s="45">
        <f t="shared" si="39"/>
        <v>0</v>
      </c>
      <c r="AK89" s="45">
        <f t="shared" si="39"/>
        <v>672938.11140309728</v>
      </c>
      <c r="AL89" s="47">
        <f t="shared" si="40"/>
        <v>0</v>
      </c>
      <c r="AM89" s="47">
        <f t="shared" si="40"/>
        <v>0.52</v>
      </c>
      <c r="AN89" s="83">
        <f>IFERROR(INDEX('Fee Calc'!P:P,MATCH(C89,'Fee Calc'!F:F,0)),0)</f>
        <v>1093524.4310300329</v>
      </c>
      <c r="AO89" s="83">
        <f>IFERROR(INDEX('Fee Calc'!Q:Q,MATCH(C89,'Fee Calc'!F:F,0)),0)</f>
        <v>67069.321869298758</v>
      </c>
      <c r="AP89" s="83">
        <f t="shared" si="41"/>
        <v>1160593.7528993317</v>
      </c>
      <c r="AQ89" s="70">
        <f t="shared" si="42"/>
        <v>495610.67148810741</v>
      </c>
      <c r="AR89" s="70">
        <f t="shared" si="43"/>
        <v>247805.33574405371</v>
      </c>
      <c r="AS89" s="70">
        <f t="shared" si="44"/>
        <v>247805.33574405371</v>
      </c>
    </row>
    <row r="90" spans="1:45">
      <c r="A90" s="104" t="s">
        <v>917</v>
      </c>
      <c r="B90" s="124" t="s">
        <v>917</v>
      </c>
      <c r="C90" s="31" t="s">
        <v>918</v>
      </c>
      <c r="D90" s="125" t="s">
        <v>918</v>
      </c>
      <c r="E90" s="119" t="s">
        <v>2815</v>
      </c>
      <c r="F90" s="100" t="s">
        <v>2279</v>
      </c>
      <c r="G90" s="100" t="s">
        <v>1365</v>
      </c>
      <c r="H90" s="43" t="str">
        <f t="shared" si="27"/>
        <v>Urban Tarrant</v>
      </c>
      <c r="I90" s="45">
        <f>INDEX('Fee Calc'!M:M,MATCH(C:C,'Fee Calc'!F:F,0))</f>
        <v>32274625.244985856</v>
      </c>
      <c r="J90" s="45">
        <f>INDEX('Fee Calc'!L:L,MATCH(C:C,'Fee Calc'!F:F,0))</f>
        <v>27473907.622426964</v>
      </c>
      <c r="K90" s="45">
        <f t="shared" si="28"/>
        <v>59748532.86741282</v>
      </c>
      <c r="L90" s="45">
        <v>54611650.799999997</v>
      </c>
      <c r="M90" s="45">
        <v>16495077.210000001</v>
      </c>
      <c r="N90" s="45">
        <f t="shared" si="29"/>
        <v>71106728.00999999</v>
      </c>
      <c r="O90" s="45">
        <v>42888529.113211617</v>
      </c>
      <c r="P90" s="45">
        <v>15086908.371363148</v>
      </c>
      <c r="Q90" s="45">
        <f t="shared" si="30"/>
        <v>57975437.484574765</v>
      </c>
      <c r="R90" s="45" t="str">
        <f t="shared" si="31"/>
        <v>Yes</v>
      </c>
      <c r="S90" s="46" t="str">
        <f t="shared" si="31"/>
        <v>Yes</v>
      </c>
      <c r="T90" s="47">
        <f>ROUND(INDEX(Summary!H:H,MATCH(H:H,Summary!A:A,0)),2)</f>
        <v>0.74</v>
      </c>
      <c r="U90" s="47">
        <f>ROUND(INDEX(Summary!I:I,MATCH(H:H,Summary!A:A,0)),2)</f>
        <v>0.49</v>
      </c>
      <c r="V90" s="81">
        <f t="shared" si="32"/>
        <v>23883222.681289535</v>
      </c>
      <c r="W90" s="81">
        <f t="shared" si="32"/>
        <v>13462214.734989213</v>
      </c>
      <c r="X90" s="45">
        <f t="shared" si="33"/>
        <v>37345437.41627875</v>
      </c>
      <c r="Y90" s="45" t="s">
        <v>2752</v>
      </c>
      <c r="Z90" s="45" t="str">
        <f t="shared" si="34"/>
        <v>Yes</v>
      </c>
      <c r="AA90" s="45" t="str">
        <f t="shared" si="34"/>
        <v>Yes</v>
      </c>
      <c r="AB90" s="45" t="str">
        <f t="shared" si="35"/>
        <v>Yes</v>
      </c>
      <c r="AC90" s="82">
        <f t="shared" si="36"/>
        <v>0.41</v>
      </c>
      <c r="AD90" s="82">
        <f t="shared" si="36"/>
        <v>0.04</v>
      </c>
      <c r="AE90" s="45">
        <f t="shared" si="37"/>
        <v>13232596.3504442</v>
      </c>
      <c r="AF90" s="45">
        <f t="shared" si="37"/>
        <v>1098956.3048970785</v>
      </c>
      <c r="AG90" s="45">
        <f t="shared" si="38"/>
        <v>14331552.655341279</v>
      </c>
      <c r="AH90" s="47">
        <f>IFERROR(ROUNDDOWN(INDEX('90% of ACR'!K:K,MATCH(H:H,'90% of ACR'!A:A,0))*IF(I90&gt;0,IF(O90&gt;0,$R$4*MAX(O90-V90,0),0),0)/I90,2),0)</f>
        <v>0.41</v>
      </c>
      <c r="AI90" s="82">
        <f>IFERROR(ROUNDDOWN(INDEX('90% of ACR'!R:R,MATCH(H:H,'90% of ACR'!A:A,0))*IF(J90&gt;0,IF(P90&gt;0,$R$4*MAX(P90-W90,0),0),0)/J90,2),0)</f>
        <v>0.04</v>
      </c>
      <c r="AJ90" s="45">
        <f t="shared" si="39"/>
        <v>13232596.3504442</v>
      </c>
      <c r="AK90" s="45">
        <f t="shared" si="39"/>
        <v>1098956.3048970785</v>
      </c>
      <c r="AL90" s="47">
        <f t="shared" si="40"/>
        <v>1.1499999999999999</v>
      </c>
      <c r="AM90" s="47">
        <f t="shared" si="40"/>
        <v>0.53</v>
      </c>
      <c r="AN90" s="83">
        <f>IFERROR(INDEX('Fee Calc'!P:P,MATCH(C90,'Fee Calc'!F:F,0)),0)</f>
        <v>51676990.071620017</v>
      </c>
      <c r="AO90" s="83">
        <f>IFERROR(INDEX('Fee Calc'!Q:Q,MATCH(C90,'Fee Calc'!F:F,0)),0)</f>
        <v>3215189.8750221557</v>
      </c>
      <c r="AP90" s="83">
        <f t="shared" si="41"/>
        <v>54892179.946642175</v>
      </c>
      <c r="AQ90" s="70">
        <f t="shared" si="42"/>
        <v>23440717.386974499</v>
      </c>
      <c r="AR90" s="70">
        <f t="shared" si="43"/>
        <v>11720358.693487249</v>
      </c>
      <c r="AS90" s="70">
        <f t="shared" si="44"/>
        <v>11720358.693487249</v>
      </c>
    </row>
    <row r="91" spans="1:45">
      <c r="A91" s="104" t="s">
        <v>929</v>
      </c>
      <c r="B91" s="124" t="s">
        <v>929</v>
      </c>
      <c r="C91" s="31" t="s">
        <v>930</v>
      </c>
      <c r="D91" s="125" t="s">
        <v>930</v>
      </c>
      <c r="E91" s="119" t="s">
        <v>2416</v>
      </c>
      <c r="F91" s="100" t="s">
        <v>2279</v>
      </c>
      <c r="G91" s="100" t="s">
        <v>1365</v>
      </c>
      <c r="H91" s="43" t="str">
        <f t="shared" si="27"/>
        <v>Urban Tarrant</v>
      </c>
      <c r="I91" s="45">
        <f>INDEX('Fee Calc'!M:M,MATCH(C:C,'Fee Calc'!F:F,0))</f>
        <v>2259352.2606780864</v>
      </c>
      <c r="J91" s="45">
        <f>INDEX('Fee Calc'!L:L,MATCH(C:C,'Fee Calc'!F:F,0))</f>
        <v>1241277.2373684112</v>
      </c>
      <c r="K91" s="45">
        <f t="shared" si="28"/>
        <v>3500629.4980464978</v>
      </c>
      <c r="L91" s="45">
        <v>1366935.48</v>
      </c>
      <c r="M91" s="45">
        <v>609394.49</v>
      </c>
      <c r="N91" s="45">
        <f t="shared" si="29"/>
        <v>1976329.97</v>
      </c>
      <c r="O91" s="45">
        <v>3446623.7877309714</v>
      </c>
      <c r="P91" s="45">
        <v>1413348.3855976267</v>
      </c>
      <c r="Q91" s="45">
        <f t="shared" si="30"/>
        <v>4859972.173328598</v>
      </c>
      <c r="R91" s="45" t="str">
        <f t="shared" si="31"/>
        <v>Yes</v>
      </c>
      <c r="S91" s="46" t="str">
        <f t="shared" si="31"/>
        <v>Yes</v>
      </c>
      <c r="T91" s="47">
        <f>ROUND(INDEX(Summary!H:H,MATCH(H:H,Summary!A:A,0)),2)</f>
        <v>0.74</v>
      </c>
      <c r="U91" s="47">
        <f>ROUND(INDEX(Summary!I:I,MATCH(H:H,Summary!A:A,0)),2)</f>
        <v>0.49</v>
      </c>
      <c r="V91" s="81">
        <f t="shared" si="32"/>
        <v>1671920.6729017838</v>
      </c>
      <c r="W91" s="81">
        <f t="shared" si="32"/>
        <v>608225.84631052148</v>
      </c>
      <c r="X91" s="45">
        <f t="shared" si="33"/>
        <v>2280146.5192123055</v>
      </c>
      <c r="Y91" s="45" t="s">
        <v>2752</v>
      </c>
      <c r="Z91" s="45" t="str">
        <f t="shared" si="34"/>
        <v>Yes</v>
      </c>
      <c r="AA91" s="45" t="str">
        <f t="shared" si="34"/>
        <v>Yes</v>
      </c>
      <c r="AB91" s="45" t="str">
        <f t="shared" si="35"/>
        <v>Yes</v>
      </c>
      <c r="AC91" s="82">
        <f t="shared" si="36"/>
        <v>0.55000000000000004</v>
      </c>
      <c r="AD91" s="82">
        <f t="shared" si="36"/>
        <v>0.45</v>
      </c>
      <c r="AE91" s="45">
        <f t="shared" si="37"/>
        <v>1242643.7433729477</v>
      </c>
      <c r="AF91" s="45">
        <f t="shared" si="37"/>
        <v>558574.75681578508</v>
      </c>
      <c r="AG91" s="45">
        <f t="shared" si="38"/>
        <v>1801218.5001887328</v>
      </c>
      <c r="AH91" s="47">
        <f>IFERROR(ROUNDDOWN(INDEX('90% of ACR'!K:K,MATCH(H:H,'90% of ACR'!A:A,0))*IF(I91&gt;0,IF(O91&gt;0,$R$4*MAX(O91-V91,0),0),0)/I91,2),0)</f>
        <v>0.54</v>
      </c>
      <c r="AI91" s="82">
        <f>IFERROR(ROUNDDOWN(INDEX('90% of ACR'!R:R,MATCH(H:H,'90% of ACR'!A:A,0))*IF(J91&gt;0,IF(P91&gt;0,$R$4*MAX(P91-W91,0),0),0)/J91,2),0)</f>
        <v>0.43</v>
      </c>
      <c r="AJ91" s="45">
        <f t="shared" si="39"/>
        <v>1220050.2207661667</v>
      </c>
      <c r="AK91" s="45">
        <f t="shared" si="39"/>
        <v>533749.21206841676</v>
      </c>
      <c r="AL91" s="47">
        <f t="shared" si="40"/>
        <v>1.28</v>
      </c>
      <c r="AM91" s="47">
        <f t="shared" si="40"/>
        <v>0.91999999999999993</v>
      </c>
      <c r="AN91" s="83">
        <f>IFERROR(INDEX('Fee Calc'!P:P,MATCH(C91,'Fee Calc'!F:F,0)),0)</f>
        <v>4033945.9520468889</v>
      </c>
      <c r="AO91" s="83">
        <f>IFERROR(INDEX('Fee Calc'!Q:Q,MATCH(C91,'Fee Calc'!F:F,0)),0)</f>
        <v>249080.44116864074</v>
      </c>
      <c r="AP91" s="83">
        <f t="shared" si="41"/>
        <v>4283026.3932155296</v>
      </c>
      <c r="AQ91" s="70">
        <f t="shared" si="42"/>
        <v>1828989.326747614</v>
      </c>
      <c r="AR91" s="70">
        <f t="shared" si="43"/>
        <v>914494.66337380698</v>
      </c>
      <c r="AS91" s="70">
        <f t="shared" si="44"/>
        <v>914494.66337380698</v>
      </c>
    </row>
    <row r="92" spans="1:45">
      <c r="A92" s="104" t="s">
        <v>135</v>
      </c>
      <c r="B92" s="124" t="s">
        <v>2695</v>
      </c>
      <c r="C92" s="31" t="s">
        <v>136</v>
      </c>
      <c r="D92" s="125" t="s">
        <v>136</v>
      </c>
      <c r="E92" s="119" t="s">
        <v>2816</v>
      </c>
      <c r="F92" s="100" t="s">
        <v>2291</v>
      </c>
      <c r="G92" s="100" t="s">
        <v>1486</v>
      </c>
      <c r="H92" s="43" t="str">
        <f t="shared" si="27"/>
        <v>Rural MRSA Central</v>
      </c>
      <c r="I92" s="45">
        <f>INDEX('Fee Calc'!M:M,MATCH(C:C,'Fee Calc'!F:F,0))</f>
        <v>125563.80976780572</v>
      </c>
      <c r="J92" s="45">
        <f>INDEX('Fee Calc'!L:L,MATCH(C:C,'Fee Calc'!F:F,0))</f>
        <v>464609.97271166497</v>
      </c>
      <c r="K92" s="45">
        <f t="shared" si="28"/>
        <v>590173.78247947071</v>
      </c>
      <c r="L92" s="45">
        <v>193480.67</v>
      </c>
      <c r="M92" s="45">
        <v>180862.43</v>
      </c>
      <c r="N92" s="45">
        <f t="shared" si="29"/>
        <v>374343.1</v>
      </c>
      <c r="O92" s="45">
        <v>228306.5697634808</v>
      </c>
      <c r="P92" s="45">
        <v>143801.48289010793</v>
      </c>
      <c r="Q92" s="45">
        <f t="shared" si="30"/>
        <v>372108.0526535887</v>
      </c>
      <c r="R92" s="45" t="str">
        <f t="shared" si="31"/>
        <v>Yes</v>
      </c>
      <c r="S92" s="46" t="str">
        <f t="shared" si="31"/>
        <v>Yes</v>
      </c>
      <c r="T92" s="47">
        <f>ROUND(INDEX(Summary!H:H,MATCH(H:H,Summary!A:A,0)),2)</f>
        <v>0.09</v>
      </c>
      <c r="U92" s="47">
        <f>ROUND(INDEX(Summary!I:I,MATCH(H:H,Summary!A:A,0)),2)</f>
        <v>0.09</v>
      </c>
      <c r="V92" s="81">
        <f t="shared" si="32"/>
        <v>11300.742879102514</v>
      </c>
      <c r="W92" s="81">
        <f t="shared" si="32"/>
        <v>41814.897544049847</v>
      </c>
      <c r="X92" s="45">
        <f t="shared" si="33"/>
        <v>53115.640423152363</v>
      </c>
      <c r="Y92" s="45" t="s">
        <v>2752</v>
      </c>
      <c r="Z92" s="45" t="str">
        <f t="shared" si="34"/>
        <v>Yes</v>
      </c>
      <c r="AA92" s="45" t="str">
        <f t="shared" si="34"/>
        <v>Yes</v>
      </c>
      <c r="AB92" s="45" t="str">
        <f t="shared" si="35"/>
        <v>Yes</v>
      </c>
      <c r="AC92" s="82">
        <f t="shared" si="36"/>
        <v>1.2</v>
      </c>
      <c r="AD92" s="82">
        <f t="shared" si="36"/>
        <v>0.15</v>
      </c>
      <c r="AE92" s="45">
        <f t="shared" si="37"/>
        <v>150676.57172136687</v>
      </c>
      <c r="AF92" s="45">
        <f t="shared" si="37"/>
        <v>69691.49590674974</v>
      </c>
      <c r="AG92" s="45">
        <f t="shared" si="38"/>
        <v>220368.06762811661</v>
      </c>
      <c r="AH92" s="47">
        <f>IFERROR(ROUNDDOWN(INDEX('90% of ACR'!K:K,MATCH(H:H,'90% of ACR'!A:A,0))*IF(I92&gt;0,IF(O92&gt;0,$R$4*MAX(O92-V92,0),0),0)/I92,2),0)</f>
        <v>0.61</v>
      </c>
      <c r="AI92" s="82">
        <f>IFERROR(ROUNDDOWN(INDEX('90% of ACR'!R:R,MATCH(H:H,'90% of ACR'!A:A,0))*IF(J92&gt;0,IF(P92&gt;0,$R$4*MAX(P92-W92,0),0),0)/J92,2),0)</f>
        <v>0.15</v>
      </c>
      <c r="AJ92" s="45">
        <f t="shared" si="39"/>
        <v>76593.923958361484</v>
      </c>
      <c r="AK92" s="45">
        <f t="shared" si="39"/>
        <v>69691.49590674974</v>
      </c>
      <c r="AL92" s="47">
        <f t="shared" si="40"/>
        <v>0.7</v>
      </c>
      <c r="AM92" s="47">
        <f t="shared" si="40"/>
        <v>0.24</v>
      </c>
      <c r="AN92" s="83">
        <f>IFERROR(INDEX('Fee Calc'!P:P,MATCH(C92,'Fee Calc'!F:F,0)),0)</f>
        <v>199401.0602882636</v>
      </c>
      <c r="AO92" s="83">
        <f>IFERROR(INDEX('Fee Calc'!Q:Q,MATCH(C92,'Fee Calc'!F:F,0)),0)</f>
        <v>12388.70492132656</v>
      </c>
      <c r="AP92" s="83">
        <f t="shared" si="41"/>
        <v>211789.76520959017</v>
      </c>
      <c r="AQ92" s="70">
        <f t="shared" si="42"/>
        <v>90441.007016981719</v>
      </c>
      <c r="AR92" s="70">
        <f t="shared" si="43"/>
        <v>45220.50350849086</v>
      </c>
      <c r="AS92" s="70">
        <f t="shared" si="44"/>
        <v>45220.50350849086</v>
      </c>
    </row>
    <row r="93" spans="1:45">
      <c r="A93" s="104" t="s">
        <v>626</v>
      </c>
      <c r="B93" s="124" t="s">
        <v>626</v>
      </c>
      <c r="C93" s="31" t="s">
        <v>627</v>
      </c>
      <c r="D93" s="125" t="s">
        <v>627</v>
      </c>
      <c r="E93" s="119" t="s">
        <v>2424</v>
      </c>
      <c r="F93" s="100" t="s">
        <v>2279</v>
      </c>
      <c r="G93" s="100" t="s">
        <v>1365</v>
      </c>
      <c r="H93" s="43" t="str">
        <f t="shared" si="27"/>
        <v>Urban Tarrant</v>
      </c>
      <c r="I93" s="45">
        <f>INDEX('Fee Calc'!M:M,MATCH(C:C,'Fee Calc'!F:F,0))</f>
        <v>2304926.6104250997</v>
      </c>
      <c r="J93" s="45">
        <f>INDEX('Fee Calc'!L:L,MATCH(C:C,'Fee Calc'!F:F,0))</f>
        <v>1263506.0280196024</v>
      </c>
      <c r="K93" s="45">
        <f t="shared" si="28"/>
        <v>3568432.6384447021</v>
      </c>
      <c r="L93" s="45">
        <v>874860</v>
      </c>
      <c r="M93" s="45">
        <v>923306.07</v>
      </c>
      <c r="N93" s="45">
        <f t="shared" si="29"/>
        <v>1798166.0699999998</v>
      </c>
      <c r="O93" s="45">
        <v>6723148.6874971325</v>
      </c>
      <c r="P93" s="45">
        <v>2058785.0144783477</v>
      </c>
      <c r="Q93" s="45">
        <f t="shared" si="30"/>
        <v>8781933.7019754797</v>
      </c>
      <c r="R93" s="45" t="str">
        <f t="shared" si="31"/>
        <v>Yes</v>
      </c>
      <c r="S93" s="46" t="str">
        <f t="shared" si="31"/>
        <v>Yes</v>
      </c>
      <c r="T93" s="47">
        <f>ROUND(INDEX(Summary!H:H,MATCH(H:H,Summary!A:A,0)),2)</f>
        <v>0.74</v>
      </c>
      <c r="U93" s="47">
        <f>ROUND(INDEX(Summary!I:I,MATCH(H:H,Summary!A:A,0)),2)</f>
        <v>0.49</v>
      </c>
      <c r="V93" s="81">
        <f t="shared" si="32"/>
        <v>1705645.6917145739</v>
      </c>
      <c r="W93" s="81">
        <f t="shared" si="32"/>
        <v>619117.95372960519</v>
      </c>
      <c r="X93" s="45">
        <f t="shared" si="33"/>
        <v>2324763.645444179</v>
      </c>
      <c r="Y93" s="45" t="s">
        <v>2752</v>
      </c>
      <c r="Z93" s="45" t="str">
        <f t="shared" si="34"/>
        <v>Yes</v>
      </c>
      <c r="AA93" s="45" t="str">
        <f t="shared" si="34"/>
        <v>Yes</v>
      </c>
      <c r="AB93" s="45" t="str">
        <f t="shared" si="35"/>
        <v>Yes</v>
      </c>
      <c r="AC93" s="82">
        <f t="shared" si="36"/>
        <v>1.52</v>
      </c>
      <c r="AD93" s="82">
        <f t="shared" si="36"/>
        <v>0.79</v>
      </c>
      <c r="AE93" s="45">
        <f t="shared" si="37"/>
        <v>3503488.4478461514</v>
      </c>
      <c r="AF93" s="45">
        <f t="shared" si="37"/>
        <v>998169.762135486</v>
      </c>
      <c r="AG93" s="45">
        <f t="shared" si="38"/>
        <v>4501658.2099816371</v>
      </c>
      <c r="AH93" s="47">
        <f>IFERROR(ROUNDDOWN(INDEX('90% of ACR'!K:K,MATCH(H:H,'90% of ACR'!A:A,0))*IF(I93&gt;0,IF(O93&gt;0,$R$4*MAX(O93-V93,0),0),0)/I93,2),0)</f>
        <v>1.51</v>
      </c>
      <c r="AI93" s="82">
        <f>IFERROR(ROUNDDOWN(INDEX('90% of ACR'!R:R,MATCH(H:H,'90% of ACR'!A:A,0))*IF(J93&gt;0,IF(P93&gt;0,$R$4*MAX(P93-W93,0),0),0)/J93,2),0)</f>
        <v>0.77</v>
      </c>
      <c r="AJ93" s="45">
        <f t="shared" si="39"/>
        <v>3480439.1817419007</v>
      </c>
      <c r="AK93" s="45">
        <f t="shared" si="39"/>
        <v>972899.64157509385</v>
      </c>
      <c r="AL93" s="47">
        <f t="shared" si="40"/>
        <v>2.25</v>
      </c>
      <c r="AM93" s="47">
        <f t="shared" si="40"/>
        <v>1.26</v>
      </c>
      <c r="AN93" s="83">
        <f>IFERROR(INDEX('Fee Calc'!P:P,MATCH(C93,'Fee Calc'!F:F,0)),0)</f>
        <v>6778102.468761174</v>
      </c>
      <c r="AO93" s="83">
        <f>IFERROR(INDEX('Fee Calc'!Q:Q,MATCH(C93,'Fee Calc'!F:F,0)),0)</f>
        <v>427123.68137883081</v>
      </c>
      <c r="AP93" s="83">
        <f t="shared" si="41"/>
        <v>7205226.1501400052</v>
      </c>
      <c r="AQ93" s="70">
        <f t="shared" si="42"/>
        <v>3076862.1333465865</v>
      </c>
      <c r="AR93" s="70">
        <f t="shared" si="43"/>
        <v>1538431.0666732932</v>
      </c>
      <c r="AS93" s="70">
        <f t="shared" si="44"/>
        <v>1538431.0666732932</v>
      </c>
    </row>
    <row r="94" spans="1:45">
      <c r="A94" s="104" t="s">
        <v>1168</v>
      </c>
      <c r="B94" s="124" t="s">
        <v>1168</v>
      </c>
      <c r="C94" s="31" t="s">
        <v>1169</v>
      </c>
      <c r="D94" s="125" t="s">
        <v>1169</v>
      </c>
      <c r="E94" s="119" t="s">
        <v>2419</v>
      </c>
      <c r="F94" s="100" t="s">
        <v>2279</v>
      </c>
      <c r="G94" s="100" t="s">
        <v>1365</v>
      </c>
      <c r="H94" s="43" t="str">
        <f t="shared" si="27"/>
        <v>Urban Tarrant</v>
      </c>
      <c r="I94" s="45">
        <f>INDEX('Fee Calc'!M:M,MATCH(C:C,'Fee Calc'!F:F,0))</f>
        <v>3105394.3036508961</v>
      </c>
      <c r="J94" s="45">
        <f>INDEX('Fee Calc'!L:L,MATCH(C:C,'Fee Calc'!F:F,0))</f>
        <v>1622183.2069251076</v>
      </c>
      <c r="K94" s="45">
        <f t="shared" si="28"/>
        <v>4727577.5105760042</v>
      </c>
      <c r="L94" s="45">
        <v>2528154.4</v>
      </c>
      <c r="M94" s="45">
        <v>1564967.72</v>
      </c>
      <c r="N94" s="45">
        <f t="shared" si="29"/>
        <v>4093122.12</v>
      </c>
      <c r="O94" s="45">
        <v>6108783.2733537192</v>
      </c>
      <c r="P94" s="45">
        <v>2092930.5220448838</v>
      </c>
      <c r="Q94" s="45">
        <f t="shared" si="30"/>
        <v>8201713.7953986032</v>
      </c>
      <c r="R94" s="45" t="str">
        <f t="shared" si="31"/>
        <v>Yes</v>
      </c>
      <c r="S94" s="46" t="str">
        <f t="shared" si="31"/>
        <v>Yes</v>
      </c>
      <c r="T94" s="47">
        <f>ROUND(INDEX(Summary!H:H,MATCH(H:H,Summary!A:A,0)),2)</f>
        <v>0.74</v>
      </c>
      <c r="U94" s="47">
        <f>ROUND(INDEX(Summary!I:I,MATCH(H:H,Summary!A:A,0)),2)</f>
        <v>0.49</v>
      </c>
      <c r="V94" s="81">
        <f t="shared" si="32"/>
        <v>2297991.7847016631</v>
      </c>
      <c r="W94" s="81">
        <f t="shared" si="32"/>
        <v>794869.77139330271</v>
      </c>
      <c r="X94" s="45">
        <f t="shared" si="33"/>
        <v>3092861.5560949659</v>
      </c>
      <c r="Y94" s="45" t="s">
        <v>2752</v>
      </c>
      <c r="Z94" s="45" t="str">
        <f t="shared" si="34"/>
        <v>Yes</v>
      </c>
      <c r="AA94" s="45" t="str">
        <f t="shared" si="34"/>
        <v>Yes</v>
      </c>
      <c r="AB94" s="45" t="str">
        <f t="shared" si="35"/>
        <v>Yes</v>
      </c>
      <c r="AC94" s="82">
        <f t="shared" si="36"/>
        <v>0.85</v>
      </c>
      <c r="AD94" s="82">
        <f t="shared" si="36"/>
        <v>0.56000000000000005</v>
      </c>
      <c r="AE94" s="45">
        <f t="shared" si="37"/>
        <v>2639585.1581032616</v>
      </c>
      <c r="AF94" s="45">
        <f t="shared" si="37"/>
        <v>908422.59587806033</v>
      </c>
      <c r="AG94" s="45">
        <f t="shared" si="38"/>
        <v>3548007.7539813221</v>
      </c>
      <c r="AH94" s="47">
        <f>IFERROR(ROUNDDOWN(INDEX('90% of ACR'!K:K,MATCH(H:H,'90% of ACR'!A:A,0))*IF(I94&gt;0,IF(O94&gt;0,$R$4*MAX(O94-V94,0),0),0)/I94,2),0)</f>
        <v>0.85</v>
      </c>
      <c r="AI94" s="82">
        <f>IFERROR(ROUNDDOWN(INDEX('90% of ACR'!R:R,MATCH(H:H,'90% of ACR'!A:A,0))*IF(J94&gt;0,IF(P94&gt;0,$R$4*MAX(P94-W94,0),0),0)/J94,2),0)</f>
        <v>0.54</v>
      </c>
      <c r="AJ94" s="45">
        <f t="shared" si="39"/>
        <v>2639585.1581032616</v>
      </c>
      <c r="AK94" s="45">
        <f t="shared" si="39"/>
        <v>875978.93173955823</v>
      </c>
      <c r="AL94" s="47">
        <f t="shared" si="40"/>
        <v>1.5899999999999999</v>
      </c>
      <c r="AM94" s="47">
        <f t="shared" si="40"/>
        <v>1.03</v>
      </c>
      <c r="AN94" s="83">
        <f>IFERROR(INDEX('Fee Calc'!P:P,MATCH(C94,'Fee Calc'!F:F,0)),0)</f>
        <v>6608425.6459377855</v>
      </c>
      <c r="AO94" s="83">
        <f>IFERROR(INDEX('Fee Calc'!Q:Q,MATCH(C94,'Fee Calc'!F:F,0)),0)</f>
        <v>408901.63235444023</v>
      </c>
      <c r="AP94" s="83">
        <f t="shared" si="41"/>
        <v>7017327.2782922257</v>
      </c>
      <c r="AQ94" s="70">
        <f t="shared" si="42"/>
        <v>2996623.3023036858</v>
      </c>
      <c r="AR94" s="70">
        <f t="shared" si="43"/>
        <v>1498311.6511518429</v>
      </c>
      <c r="AS94" s="70">
        <f t="shared" si="44"/>
        <v>1498311.6511518429</v>
      </c>
    </row>
    <row r="95" spans="1:45">
      <c r="A95" s="104" t="s">
        <v>273</v>
      </c>
      <c r="B95" s="124" t="s">
        <v>273</v>
      </c>
      <c r="C95" s="31" t="s">
        <v>274</v>
      </c>
      <c r="D95" s="125" t="s">
        <v>274</v>
      </c>
      <c r="E95" s="119" t="s">
        <v>2817</v>
      </c>
      <c r="F95" s="100" t="s">
        <v>2279</v>
      </c>
      <c r="G95" s="100" t="s">
        <v>300</v>
      </c>
      <c r="H95" s="43" t="str">
        <f t="shared" si="27"/>
        <v>Urban Harris</v>
      </c>
      <c r="I95" s="45">
        <f>INDEX('Fee Calc'!M:M,MATCH(C:C,'Fee Calc'!F:F,0))</f>
        <v>2389705.6793415919</v>
      </c>
      <c r="J95" s="45">
        <f>INDEX('Fee Calc'!L:L,MATCH(C:C,'Fee Calc'!F:F,0))</f>
        <v>1184233.1527374098</v>
      </c>
      <c r="K95" s="45">
        <f t="shared" si="28"/>
        <v>3573938.8320790017</v>
      </c>
      <c r="L95" s="45">
        <v>2650466.69</v>
      </c>
      <c r="M95" s="45">
        <v>952729.98</v>
      </c>
      <c r="N95" s="45">
        <f t="shared" si="29"/>
        <v>3603196.67</v>
      </c>
      <c r="O95" s="45">
        <v>9972937.1714287922</v>
      </c>
      <c r="P95" s="45">
        <v>3058734.3003714588</v>
      </c>
      <c r="Q95" s="45">
        <f t="shared" si="30"/>
        <v>13031671.471800251</v>
      </c>
      <c r="R95" s="45" t="str">
        <f t="shared" si="31"/>
        <v>Yes</v>
      </c>
      <c r="S95" s="46" t="str">
        <f t="shared" si="31"/>
        <v>Yes</v>
      </c>
      <c r="T95" s="47">
        <f>ROUND(INDEX(Summary!H:H,MATCH(H:H,Summary!A:A,0)),2)</f>
        <v>1.57</v>
      </c>
      <c r="U95" s="47">
        <f>ROUND(INDEX(Summary!I:I,MATCH(H:H,Summary!A:A,0)),2)</f>
        <v>0.3</v>
      </c>
      <c r="V95" s="81">
        <f t="shared" si="32"/>
        <v>3751837.9165662993</v>
      </c>
      <c r="W95" s="81">
        <f t="shared" si="32"/>
        <v>355269.94582122291</v>
      </c>
      <c r="X95" s="45">
        <f t="shared" si="33"/>
        <v>4107107.8623875221</v>
      </c>
      <c r="Y95" s="45" t="s">
        <v>2752</v>
      </c>
      <c r="Z95" s="45" t="str">
        <f t="shared" si="34"/>
        <v>No</v>
      </c>
      <c r="AA95" s="45" t="str">
        <f t="shared" si="34"/>
        <v>Yes</v>
      </c>
      <c r="AB95" s="45" t="str">
        <f t="shared" si="35"/>
        <v>Yes</v>
      </c>
      <c r="AC95" s="82">
        <f t="shared" si="36"/>
        <v>1.81</v>
      </c>
      <c r="AD95" s="82">
        <f t="shared" si="36"/>
        <v>1.59</v>
      </c>
      <c r="AE95" s="45">
        <f t="shared" si="37"/>
        <v>4325367.2796082813</v>
      </c>
      <c r="AF95" s="45">
        <f t="shared" si="37"/>
        <v>1882930.7128524818</v>
      </c>
      <c r="AG95" s="45">
        <f t="shared" si="38"/>
        <v>6208297.9924607631</v>
      </c>
      <c r="AH95" s="47">
        <f>IFERROR(ROUNDDOWN(INDEX('90% of ACR'!K:K,MATCH(H:H,'90% of ACR'!A:A,0))*IF(I95&gt;0,IF(O95&gt;0,$R$4*MAX(O95-V95,0),0),0)/I95,2),0)</f>
        <v>0</v>
      </c>
      <c r="AI95" s="82">
        <f>IFERROR(ROUNDDOWN(INDEX('90% of ACR'!R:R,MATCH(H:H,'90% of ACR'!A:A,0))*IF(J95&gt;0,IF(P95&gt;0,$R$4*MAX(P95-W95,0),0),0)/J95,2),0)</f>
        <v>1.49</v>
      </c>
      <c r="AJ95" s="45">
        <f t="shared" si="39"/>
        <v>0</v>
      </c>
      <c r="AK95" s="45">
        <f t="shared" si="39"/>
        <v>1764507.3975787405</v>
      </c>
      <c r="AL95" s="47">
        <f t="shared" si="40"/>
        <v>1.57</v>
      </c>
      <c r="AM95" s="47">
        <f t="shared" si="40"/>
        <v>1.79</v>
      </c>
      <c r="AN95" s="83">
        <f>IFERROR(INDEX('Fee Calc'!P:P,MATCH(C95,'Fee Calc'!F:F,0)),0)</f>
        <v>5871615.2599662635</v>
      </c>
      <c r="AO95" s="83">
        <f>IFERROR(INDEX('Fee Calc'!Q:Q,MATCH(C95,'Fee Calc'!F:F,0)),0)</f>
        <v>361777.23402882507</v>
      </c>
      <c r="AP95" s="83">
        <f t="shared" si="41"/>
        <v>6233392.4939950891</v>
      </c>
      <c r="AQ95" s="70">
        <f t="shared" si="42"/>
        <v>2661858.063495711</v>
      </c>
      <c r="AR95" s="70">
        <f t="shared" si="43"/>
        <v>1330929.0317478555</v>
      </c>
      <c r="AS95" s="70">
        <f t="shared" si="44"/>
        <v>1330929.0317478555</v>
      </c>
    </row>
    <row r="96" spans="1:45">
      <c r="A96" s="104" t="s">
        <v>276</v>
      </c>
      <c r="B96" s="124" t="s">
        <v>276</v>
      </c>
      <c r="C96" s="31" t="s">
        <v>277</v>
      </c>
      <c r="D96" s="125" t="s">
        <v>277</v>
      </c>
      <c r="E96" s="119" t="s">
        <v>2818</v>
      </c>
      <c r="F96" s="100" t="s">
        <v>2279</v>
      </c>
      <c r="G96" s="100" t="s">
        <v>300</v>
      </c>
      <c r="H96" s="43" t="str">
        <f t="shared" si="27"/>
        <v>Urban Harris</v>
      </c>
      <c r="I96" s="45">
        <f>INDEX('Fee Calc'!M:M,MATCH(C:C,'Fee Calc'!F:F,0))</f>
        <v>11343384.212931806</v>
      </c>
      <c r="J96" s="45">
        <f>INDEX('Fee Calc'!L:L,MATCH(C:C,'Fee Calc'!F:F,0))</f>
        <v>10765491.703367064</v>
      </c>
      <c r="K96" s="45">
        <f t="shared" si="28"/>
        <v>22108875.91629887</v>
      </c>
      <c r="L96" s="45">
        <v>9544303.8699999992</v>
      </c>
      <c r="M96" s="45">
        <v>674836</v>
      </c>
      <c r="N96" s="45">
        <f t="shared" si="29"/>
        <v>10219139.869999999</v>
      </c>
      <c r="O96" s="45">
        <v>30466455.996241875</v>
      </c>
      <c r="P96" s="45">
        <v>4848038.1354099121</v>
      </c>
      <c r="Q96" s="45">
        <f t="shared" si="30"/>
        <v>35314494.131651789</v>
      </c>
      <c r="R96" s="45" t="str">
        <f t="shared" si="31"/>
        <v>Yes</v>
      </c>
      <c r="S96" s="46" t="str">
        <f t="shared" si="31"/>
        <v>Yes</v>
      </c>
      <c r="T96" s="47">
        <f>ROUND(INDEX(Summary!H:H,MATCH(H:H,Summary!A:A,0)),2)</f>
        <v>1.57</v>
      </c>
      <c r="U96" s="47">
        <f>ROUND(INDEX(Summary!I:I,MATCH(H:H,Summary!A:A,0)),2)</f>
        <v>0.3</v>
      </c>
      <c r="V96" s="81">
        <f t="shared" si="32"/>
        <v>17809113.214302935</v>
      </c>
      <c r="W96" s="81">
        <f t="shared" si="32"/>
        <v>3229647.5110101192</v>
      </c>
      <c r="X96" s="45">
        <f t="shared" si="33"/>
        <v>21038760.725313053</v>
      </c>
      <c r="Y96" s="45" t="s">
        <v>2752</v>
      </c>
      <c r="Z96" s="45" t="str">
        <f t="shared" si="34"/>
        <v>No</v>
      </c>
      <c r="AA96" s="45" t="str">
        <f t="shared" si="34"/>
        <v>Yes</v>
      </c>
      <c r="AB96" s="45" t="str">
        <f t="shared" si="35"/>
        <v>Yes</v>
      </c>
      <c r="AC96" s="82">
        <f t="shared" si="36"/>
        <v>0.78</v>
      </c>
      <c r="AD96" s="82">
        <f t="shared" si="36"/>
        <v>0.1</v>
      </c>
      <c r="AE96" s="45">
        <f t="shared" si="37"/>
        <v>8847839.6860868093</v>
      </c>
      <c r="AF96" s="45">
        <f t="shared" si="37"/>
        <v>1076549.1703367063</v>
      </c>
      <c r="AG96" s="45">
        <f t="shared" si="38"/>
        <v>9924388.8564235158</v>
      </c>
      <c r="AH96" s="47">
        <f>IFERROR(ROUNDDOWN(INDEX('90% of ACR'!K:K,MATCH(H:H,'90% of ACR'!A:A,0))*IF(I96&gt;0,IF(O96&gt;0,$R$4*MAX(O96-V96,0),0),0)/I96,2),0)</f>
        <v>0</v>
      </c>
      <c r="AI96" s="82">
        <f>IFERROR(ROUNDDOWN(INDEX('90% of ACR'!R:R,MATCH(H:H,'90% of ACR'!A:A,0))*IF(J96&gt;0,IF(P96&gt;0,$R$4*MAX(P96-W96,0),0),0)/J96,2),0)</f>
        <v>0.09</v>
      </c>
      <c r="AJ96" s="45">
        <f t="shared" si="39"/>
        <v>0</v>
      </c>
      <c r="AK96" s="45">
        <f t="shared" si="39"/>
        <v>968894.25330303574</v>
      </c>
      <c r="AL96" s="47">
        <f t="shared" si="40"/>
        <v>1.57</v>
      </c>
      <c r="AM96" s="47">
        <f t="shared" si="40"/>
        <v>0.39</v>
      </c>
      <c r="AN96" s="83">
        <f>IFERROR(INDEX('Fee Calc'!P:P,MATCH(C96,'Fee Calc'!F:F,0)),0)</f>
        <v>22007654.978616089</v>
      </c>
      <c r="AO96" s="83">
        <f>IFERROR(INDEX('Fee Calc'!Q:Q,MATCH(C96,'Fee Calc'!F:F,0)),0)</f>
        <v>1347530.5529923879</v>
      </c>
      <c r="AP96" s="83">
        <f t="shared" si="41"/>
        <v>23355185.531608477</v>
      </c>
      <c r="AQ96" s="70">
        <f t="shared" si="42"/>
        <v>9973411.5879338309</v>
      </c>
      <c r="AR96" s="70">
        <f t="shared" si="43"/>
        <v>4986705.7939669155</v>
      </c>
      <c r="AS96" s="70">
        <f t="shared" si="44"/>
        <v>4986705.7939669155</v>
      </c>
    </row>
    <row r="97" spans="1:45">
      <c r="A97" s="104" t="s">
        <v>261</v>
      </c>
      <c r="B97" s="124" t="s">
        <v>261</v>
      </c>
      <c r="C97" s="31" t="s">
        <v>262</v>
      </c>
      <c r="D97" s="125" t="s">
        <v>262</v>
      </c>
      <c r="E97" s="119" t="s">
        <v>2819</v>
      </c>
      <c r="F97" s="100" t="s">
        <v>2279</v>
      </c>
      <c r="G97" s="100" t="s">
        <v>300</v>
      </c>
      <c r="H97" s="43" t="str">
        <f t="shared" si="27"/>
        <v>Urban Harris</v>
      </c>
      <c r="I97" s="45">
        <f>INDEX('Fee Calc'!M:M,MATCH(C:C,'Fee Calc'!F:F,0))</f>
        <v>6569759.638481332</v>
      </c>
      <c r="J97" s="45">
        <f>INDEX('Fee Calc'!L:L,MATCH(C:C,'Fee Calc'!F:F,0))</f>
        <v>5060596.7475962639</v>
      </c>
      <c r="K97" s="45">
        <f t="shared" si="28"/>
        <v>11630356.386077596</v>
      </c>
      <c r="L97" s="45">
        <v>3845876.6</v>
      </c>
      <c r="M97" s="45">
        <v>621982.93999999994</v>
      </c>
      <c r="N97" s="45">
        <f t="shared" si="29"/>
        <v>4467859.54</v>
      </c>
      <c r="O97" s="45">
        <v>12569308.512715401</v>
      </c>
      <c r="P97" s="45">
        <v>2791139.5218942333</v>
      </c>
      <c r="Q97" s="45">
        <f t="shared" si="30"/>
        <v>15360448.034609634</v>
      </c>
      <c r="R97" s="45" t="str">
        <f t="shared" si="31"/>
        <v>Yes</v>
      </c>
      <c r="S97" s="46" t="str">
        <f t="shared" si="31"/>
        <v>Yes</v>
      </c>
      <c r="T97" s="47">
        <f>ROUND(INDEX(Summary!H:H,MATCH(H:H,Summary!A:A,0)),2)</f>
        <v>1.57</v>
      </c>
      <c r="U97" s="47">
        <f>ROUND(INDEX(Summary!I:I,MATCH(H:H,Summary!A:A,0)),2)</f>
        <v>0.3</v>
      </c>
      <c r="V97" s="81">
        <f t="shared" si="32"/>
        <v>10314522.632415691</v>
      </c>
      <c r="W97" s="81">
        <f t="shared" si="32"/>
        <v>1518179.0242788792</v>
      </c>
      <c r="X97" s="45">
        <f t="shared" si="33"/>
        <v>11832701.656694571</v>
      </c>
      <c r="Y97" s="45" t="s">
        <v>2752</v>
      </c>
      <c r="Z97" s="45" t="str">
        <f t="shared" si="34"/>
        <v>No</v>
      </c>
      <c r="AA97" s="45" t="str">
        <f t="shared" si="34"/>
        <v>Yes</v>
      </c>
      <c r="AB97" s="45" t="str">
        <f t="shared" si="35"/>
        <v>Yes</v>
      </c>
      <c r="AC97" s="82">
        <f t="shared" si="36"/>
        <v>0.24</v>
      </c>
      <c r="AD97" s="82">
        <f t="shared" si="36"/>
        <v>0.18</v>
      </c>
      <c r="AE97" s="45">
        <f t="shared" si="37"/>
        <v>1576742.3132355197</v>
      </c>
      <c r="AF97" s="45">
        <f t="shared" si="37"/>
        <v>910907.41456732748</v>
      </c>
      <c r="AG97" s="45">
        <f t="shared" si="38"/>
        <v>2487649.727802847</v>
      </c>
      <c r="AH97" s="47">
        <f>IFERROR(ROUNDDOWN(INDEX('90% of ACR'!K:K,MATCH(H:H,'90% of ACR'!A:A,0))*IF(I97&gt;0,IF(O97&gt;0,$R$4*MAX(O97-V97,0),0),0)/I97,2),0)</f>
        <v>0</v>
      </c>
      <c r="AI97" s="82">
        <f>IFERROR(ROUNDDOWN(INDEX('90% of ACR'!R:R,MATCH(H:H,'90% of ACR'!A:A,0))*IF(J97&gt;0,IF(P97&gt;0,$R$4*MAX(P97-W97,0),0),0)/J97,2),0)</f>
        <v>0.16</v>
      </c>
      <c r="AJ97" s="45">
        <f t="shared" si="39"/>
        <v>0</v>
      </c>
      <c r="AK97" s="45">
        <f t="shared" si="39"/>
        <v>809695.47961540229</v>
      </c>
      <c r="AL97" s="47">
        <f t="shared" si="40"/>
        <v>1.57</v>
      </c>
      <c r="AM97" s="47">
        <f t="shared" si="40"/>
        <v>0.45999999999999996</v>
      </c>
      <c r="AN97" s="83">
        <f>IFERROR(INDEX('Fee Calc'!P:P,MATCH(C97,'Fee Calc'!F:F,0)),0)</f>
        <v>12642397.136309972</v>
      </c>
      <c r="AO97" s="83">
        <f>IFERROR(INDEX('Fee Calc'!Q:Q,MATCH(C97,'Fee Calc'!F:F,0)),0)</f>
        <v>772808.7002324101</v>
      </c>
      <c r="AP97" s="83">
        <f t="shared" si="41"/>
        <v>13415205.836542383</v>
      </c>
      <c r="AQ97" s="70">
        <f t="shared" si="42"/>
        <v>5728722.1787903672</v>
      </c>
      <c r="AR97" s="70">
        <f t="shared" si="43"/>
        <v>2864361.0893951836</v>
      </c>
      <c r="AS97" s="70">
        <f t="shared" si="44"/>
        <v>2864361.0893951836</v>
      </c>
    </row>
    <row r="98" spans="1:45">
      <c r="A98" s="104" t="s">
        <v>1564</v>
      </c>
      <c r="B98" s="124" t="s">
        <v>1564</v>
      </c>
      <c r="C98" s="31" t="s">
        <v>1277</v>
      </c>
      <c r="D98" s="125" t="s">
        <v>1277</v>
      </c>
      <c r="E98" s="119" t="s">
        <v>2820</v>
      </c>
      <c r="F98" s="100" t="s">
        <v>2279</v>
      </c>
      <c r="G98" s="100" t="s">
        <v>300</v>
      </c>
      <c r="H98" s="43" t="str">
        <f t="shared" si="27"/>
        <v>Urban Harris</v>
      </c>
      <c r="I98" s="45">
        <f>INDEX('Fee Calc'!M:M,MATCH(C:C,'Fee Calc'!F:F,0))</f>
        <v>10108448.957122872</v>
      </c>
      <c r="J98" s="45">
        <f>INDEX('Fee Calc'!L:L,MATCH(C:C,'Fee Calc'!F:F,0))</f>
        <v>12543715.037505977</v>
      </c>
      <c r="K98" s="45">
        <f t="shared" si="28"/>
        <v>22652163.994628847</v>
      </c>
      <c r="L98" s="45">
        <v>8356328.5</v>
      </c>
      <c r="M98" s="45">
        <v>699901.17</v>
      </c>
      <c r="N98" s="45">
        <f t="shared" si="29"/>
        <v>9056229.6699999999</v>
      </c>
      <c r="O98" s="45">
        <v>26831037.165933002</v>
      </c>
      <c r="P98" s="45">
        <v>7302807.693798027</v>
      </c>
      <c r="Q98" s="45">
        <f t="shared" si="30"/>
        <v>34133844.859731026</v>
      </c>
      <c r="R98" s="45" t="str">
        <f t="shared" si="31"/>
        <v>Yes</v>
      </c>
      <c r="S98" s="46" t="str">
        <f t="shared" si="31"/>
        <v>Yes</v>
      </c>
      <c r="T98" s="47">
        <f>ROUND(INDEX(Summary!H:H,MATCH(H:H,Summary!A:A,0)),2)</f>
        <v>1.57</v>
      </c>
      <c r="U98" s="47">
        <f>ROUND(INDEX(Summary!I:I,MATCH(H:H,Summary!A:A,0)),2)</f>
        <v>0.3</v>
      </c>
      <c r="V98" s="81">
        <f t="shared" si="32"/>
        <v>15870264.862682909</v>
      </c>
      <c r="W98" s="81">
        <f t="shared" si="32"/>
        <v>3763114.5112517928</v>
      </c>
      <c r="X98" s="45">
        <f t="shared" si="33"/>
        <v>19633379.373934701</v>
      </c>
      <c r="Y98" s="45" t="s">
        <v>2752</v>
      </c>
      <c r="Z98" s="45" t="str">
        <f t="shared" si="34"/>
        <v>No</v>
      </c>
      <c r="AA98" s="45" t="str">
        <f t="shared" si="34"/>
        <v>Yes</v>
      </c>
      <c r="AB98" s="45" t="str">
        <f t="shared" si="35"/>
        <v>Yes</v>
      </c>
      <c r="AC98" s="82">
        <f t="shared" si="36"/>
        <v>0.76</v>
      </c>
      <c r="AD98" s="82">
        <f t="shared" si="36"/>
        <v>0.2</v>
      </c>
      <c r="AE98" s="45">
        <f t="shared" si="37"/>
        <v>7682421.2074133828</v>
      </c>
      <c r="AF98" s="45">
        <f t="shared" si="37"/>
        <v>2508743.0075011957</v>
      </c>
      <c r="AG98" s="45">
        <f t="shared" si="38"/>
        <v>10191164.214914579</v>
      </c>
      <c r="AH98" s="47">
        <f>IFERROR(ROUNDDOWN(INDEX('90% of ACR'!K:K,MATCH(H:H,'90% of ACR'!A:A,0))*IF(I98&gt;0,IF(O98&gt;0,$R$4*MAX(O98-V98,0),0),0)/I98,2),0)</f>
        <v>0</v>
      </c>
      <c r="AI98" s="82">
        <f>IFERROR(ROUNDDOWN(INDEX('90% of ACR'!R:R,MATCH(H:H,'90% of ACR'!A:A,0))*IF(J98&gt;0,IF(P98&gt;0,$R$4*MAX(P98-W98,0),0),0)/J98,2),0)</f>
        <v>0.18</v>
      </c>
      <c r="AJ98" s="45">
        <f t="shared" si="39"/>
        <v>0</v>
      </c>
      <c r="AK98" s="45">
        <f t="shared" si="39"/>
        <v>2257868.7067510756</v>
      </c>
      <c r="AL98" s="47">
        <f t="shared" si="40"/>
        <v>1.57</v>
      </c>
      <c r="AM98" s="47">
        <f t="shared" si="40"/>
        <v>0.48</v>
      </c>
      <c r="AN98" s="83">
        <f>IFERROR(INDEX('Fee Calc'!P:P,MATCH(C98,'Fee Calc'!F:F,0)),0)</f>
        <v>21891248.080685779</v>
      </c>
      <c r="AO98" s="83">
        <f>IFERROR(INDEX('Fee Calc'!Q:Q,MATCH(C98,'Fee Calc'!F:F,0)),0)</f>
        <v>1348688.6279080198</v>
      </c>
      <c r="AP98" s="83">
        <f t="shared" si="41"/>
        <v>23239936.708593801</v>
      </c>
      <c r="AQ98" s="70">
        <f t="shared" si="42"/>
        <v>9924196.6525442265</v>
      </c>
      <c r="AR98" s="70">
        <f t="shared" si="43"/>
        <v>4962098.3262721132</v>
      </c>
      <c r="AS98" s="70">
        <f t="shared" si="44"/>
        <v>4962098.3262721132</v>
      </c>
    </row>
    <row r="99" spans="1:45">
      <c r="A99" s="104" t="s">
        <v>1137</v>
      </c>
      <c r="B99" s="124" t="s">
        <v>1137</v>
      </c>
      <c r="C99" s="31" t="s">
        <v>1138</v>
      </c>
      <c r="D99" s="125" t="s">
        <v>1138</v>
      </c>
      <c r="E99" s="119" t="s">
        <v>2821</v>
      </c>
      <c r="F99" s="100" t="s">
        <v>2279</v>
      </c>
      <c r="G99" s="100" t="s">
        <v>300</v>
      </c>
      <c r="H99" s="43" t="str">
        <f t="shared" si="27"/>
        <v>Urban Harris</v>
      </c>
      <c r="I99" s="45">
        <f>INDEX('Fee Calc'!M:M,MATCH(C:C,'Fee Calc'!F:F,0))</f>
        <v>11831098.048145693</v>
      </c>
      <c r="J99" s="45">
        <f>INDEX('Fee Calc'!L:L,MATCH(C:C,'Fee Calc'!F:F,0))</f>
        <v>8185429.174828331</v>
      </c>
      <c r="K99" s="45">
        <f t="shared" si="28"/>
        <v>20016527.222974025</v>
      </c>
      <c r="L99" s="45">
        <v>8452340.7400000002</v>
      </c>
      <c r="M99" s="45">
        <v>1268238.82</v>
      </c>
      <c r="N99" s="45">
        <f t="shared" si="29"/>
        <v>9720579.5600000005</v>
      </c>
      <c r="O99" s="45">
        <v>32922281.153802224</v>
      </c>
      <c r="P99" s="45">
        <v>5402238.2022844553</v>
      </c>
      <c r="Q99" s="45">
        <f t="shared" si="30"/>
        <v>38324519.356086679</v>
      </c>
      <c r="R99" s="45" t="str">
        <f t="shared" si="31"/>
        <v>Yes</v>
      </c>
      <c r="S99" s="46" t="str">
        <f t="shared" si="31"/>
        <v>Yes</v>
      </c>
      <c r="T99" s="47">
        <f>ROUND(INDEX(Summary!H:H,MATCH(H:H,Summary!A:A,0)),2)</f>
        <v>1.57</v>
      </c>
      <c r="U99" s="47">
        <f>ROUND(INDEX(Summary!I:I,MATCH(H:H,Summary!A:A,0)),2)</f>
        <v>0.3</v>
      </c>
      <c r="V99" s="81">
        <f t="shared" si="32"/>
        <v>18574823.93558874</v>
      </c>
      <c r="W99" s="81">
        <f t="shared" si="32"/>
        <v>2455628.7524484992</v>
      </c>
      <c r="X99" s="45">
        <f t="shared" si="33"/>
        <v>21030452.688037239</v>
      </c>
      <c r="Y99" s="45" t="s">
        <v>2752</v>
      </c>
      <c r="Z99" s="45" t="str">
        <f t="shared" si="34"/>
        <v>No</v>
      </c>
      <c r="AA99" s="45" t="str">
        <f t="shared" si="34"/>
        <v>Yes</v>
      </c>
      <c r="AB99" s="45" t="str">
        <f t="shared" si="35"/>
        <v>Yes</v>
      </c>
      <c r="AC99" s="82">
        <f t="shared" si="36"/>
        <v>0.84</v>
      </c>
      <c r="AD99" s="82">
        <f t="shared" si="36"/>
        <v>0.25</v>
      </c>
      <c r="AE99" s="45">
        <f t="shared" si="37"/>
        <v>9938122.3604423814</v>
      </c>
      <c r="AF99" s="45">
        <f t="shared" si="37"/>
        <v>2046357.2937070827</v>
      </c>
      <c r="AG99" s="45">
        <f t="shared" si="38"/>
        <v>11984479.654149463</v>
      </c>
      <c r="AH99" s="47">
        <f>IFERROR(ROUNDDOWN(INDEX('90% of ACR'!K:K,MATCH(H:H,'90% of ACR'!A:A,0))*IF(I99&gt;0,IF(O99&gt;0,$R$4*MAX(O99-V99,0),0),0)/I99,2),0)</f>
        <v>0</v>
      </c>
      <c r="AI99" s="82">
        <f>IFERROR(ROUNDDOWN(INDEX('90% of ACR'!R:R,MATCH(H:H,'90% of ACR'!A:A,0))*IF(J99&gt;0,IF(P99&gt;0,$R$4*MAX(P99-W99,0),0),0)/J99,2),0)</f>
        <v>0.23</v>
      </c>
      <c r="AJ99" s="45">
        <f t="shared" si="39"/>
        <v>0</v>
      </c>
      <c r="AK99" s="45">
        <f t="shared" si="39"/>
        <v>1882648.7102105161</v>
      </c>
      <c r="AL99" s="47">
        <f t="shared" si="40"/>
        <v>1.57</v>
      </c>
      <c r="AM99" s="47">
        <f t="shared" si="40"/>
        <v>0.53</v>
      </c>
      <c r="AN99" s="83">
        <f>IFERROR(INDEX('Fee Calc'!P:P,MATCH(C99,'Fee Calc'!F:F,0)),0)</f>
        <v>22913101.398247756</v>
      </c>
      <c r="AO99" s="83">
        <f>IFERROR(INDEX('Fee Calc'!Q:Q,MATCH(C99,'Fee Calc'!F:F,0)),0)</f>
        <v>1425794.6367497379</v>
      </c>
      <c r="AP99" s="83">
        <f t="shared" si="41"/>
        <v>24338896.034997493</v>
      </c>
      <c r="AQ99" s="70">
        <f t="shared" si="42"/>
        <v>10393487.451617049</v>
      </c>
      <c r="AR99" s="70">
        <f t="shared" si="43"/>
        <v>5196743.7258085245</v>
      </c>
      <c r="AS99" s="70">
        <f t="shared" si="44"/>
        <v>5196743.7258085245</v>
      </c>
    </row>
    <row r="100" spans="1:45">
      <c r="A100" s="104" t="s">
        <v>183</v>
      </c>
      <c r="B100" s="124" t="s">
        <v>183</v>
      </c>
      <c r="C100" s="31" t="s">
        <v>184</v>
      </c>
      <c r="D100" s="125" t="s">
        <v>184</v>
      </c>
      <c r="E100" s="119" t="s">
        <v>2822</v>
      </c>
      <c r="F100" s="100" t="s">
        <v>2279</v>
      </c>
      <c r="G100" s="100" t="s">
        <v>300</v>
      </c>
      <c r="H100" s="43" t="str">
        <f t="shared" si="27"/>
        <v>Urban Harris</v>
      </c>
      <c r="I100" s="45">
        <f>INDEX('Fee Calc'!M:M,MATCH(C:C,'Fee Calc'!F:F,0))</f>
        <v>2218504.5278439745</v>
      </c>
      <c r="J100" s="45">
        <f>INDEX('Fee Calc'!L:L,MATCH(C:C,'Fee Calc'!F:F,0))</f>
        <v>4709622.6922237407</v>
      </c>
      <c r="K100" s="45">
        <f t="shared" si="28"/>
        <v>6928127.2200677153</v>
      </c>
      <c r="L100" s="45">
        <v>1535112.41</v>
      </c>
      <c r="M100" s="45">
        <v>163192.59</v>
      </c>
      <c r="N100" s="45">
        <f t="shared" si="29"/>
        <v>1698305</v>
      </c>
      <c r="O100" s="45">
        <v>5275500.8238877757</v>
      </c>
      <c r="P100" s="45">
        <v>2086644.8647450854</v>
      </c>
      <c r="Q100" s="45">
        <f t="shared" si="30"/>
        <v>7362145.6886328608</v>
      </c>
      <c r="R100" s="45" t="str">
        <f t="shared" si="31"/>
        <v>Yes</v>
      </c>
      <c r="S100" s="46" t="str">
        <f t="shared" si="31"/>
        <v>Yes</v>
      </c>
      <c r="T100" s="47">
        <f>ROUND(INDEX(Summary!H:H,MATCH(H:H,Summary!A:A,0)),2)</f>
        <v>1.57</v>
      </c>
      <c r="U100" s="47">
        <f>ROUND(INDEX(Summary!I:I,MATCH(H:H,Summary!A:A,0)),2)</f>
        <v>0.3</v>
      </c>
      <c r="V100" s="81">
        <f t="shared" si="32"/>
        <v>3483052.1087150401</v>
      </c>
      <c r="W100" s="81">
        <f t="shared" si="32"/>
        <v>1412886.8076671222</v>
      </c>
      <c r="X100" s="45">
        <f t="shared" si="33"/>
        <v>4895938.9163821619</v>
      </c>
      <c r="Y100" s="45" t="s">
        <v>2752</v>
      </c>
      <c r="Z100" s="45" t="str">
        <f t="shared" si="34"/>
        <v>No</v>
      </c>
      <c r="AA100" s="45" t="str">
        <f t="shared" si="34"/>
        <v>Yes</v>
      </c>
      <c r="AB100" s="45" t="str">
        <f t="shared" si="35"/>
        <v>Yes</v>
      </c>
      <c r="AC100" s="82">
        <f t="shared" si="36"/>
        <v>0.56000000000000005</v>
      </c>
      <c r="AD100" s="82">
        <f t="shared" si="36"/>
        <v>0.1</v>
      </c>
      <c r="AE100" s="45">
        <f t="shared" si="37"/>
        <v>1242362.5355926258</v>
      </c>
      <c r="AF100" s="45">
        <f t="shared" si="37"/>
        <v>470962.26922237407</v>
      </c>
      <c r="AG100" s="45">
        <f t="shared" si="38"/>
        <v>1713324.8048149999</v>
      </c>
      <c r="AH100" s="47">
        <f>IFERROR(ROUNDDOWN(INDEX('90% of ACR'!K:K,MATCH(H:H,'90% of ACR'!A:A,0))*IF(I100&gt;0,IF(O100&gt;0,$R$4*MAX(O100-V100,0),0),0)/I100,2),0)</f>
        <v>0</v>
      </c>
      <c r="AI100" s="82">
        <f>IFERROR(ROUNDDOWN(INDEX('90% of ACR'!R:R,MATCH(H:H,'90% of ACR'!A:A,0))*IF(J100&gt;0,IF(P100&gt;0,$R$4*MAX(P100-W100,0),0),0)/J100,2),0)</f>
        <v>0.09</v>
      </c>
      <c r="AJ100" s="45">
        <f t="shared" si="39"/>
        <v>0</v>
      </c>
      <c r="AK100" s="45">
        <f t="shared" si="39"/>
        <v>423866.04230013664</v>
      </c>
      <c r="AL100" s="47">
        <f t="shared" si="40"/>
        <v>1.57</v>
      </c>
      <c r="AM100" s="47">
        <f t="shared" si="40"/>
        <v>0.39</v>
      </c>
      <c r="AN100" s="83">
        <f>IFERROR(INDEX('Fee Calc'!P:P,MATCH(C100,'Fee Calc'!F:F,0)),0)</f>
        <v>5319804.9586822987</v>
      </c>
      <c r="AO100" s="83">
        <f>IFERROR(INDEX('Fee Calc'!Q:Q,MATCH(C100,'Fee Calc'!F:F,0)),0)</f>
        <v>327348.6003283083</v>
      </c>
      <c r="AP100" s="83">
        <f t="shared" si="41"/>
        <v>5647153.5590106072</v>
      </c>
      <c r="AQ100" s="70">
        <f t="shared" si="42"/>
        <v>2411515.2786114174</v>
      </c>
      <c r="AR100" s="70">
        <f t="shared" si="43"/>
        <v>1205757.6393057087</v>
      </c>
      <c r="AS100" s="70">
        <f t="shared" si="44"/>
        <v>1205757.6393057087</v>
      </c>
    </row>
    <row r="101" spans="1:45">
      <c r="A101" s="104" t="s">
        <v>258</v>
      </c>
      <c r="B101" s="124" t="s">
        <v>258</v>
      </c>
      <c r="C101" s="31" t="s">
        <v>259</v>
      </c>
      <c r="D101" s="125" t="s">
        <v>259</v>
      </c>
      <c r="E101" s="119" t="s">
        <v>2823</v>
      </c>
      <c r="F101" s="100" t="s">
        <v>2279</v>
      </c>
      <c r="G101" s="100" t="s">
        <v>300</v>
      </c>
      <c r="H101" s="43" t="str">
        <f t="shared" si="27"/>
        <v>Urban Harris</v>
      </c>
      <c r="I101" s="45">
        <f>INDEX('Fee Calc'!M:M,MATCH(C:C,'Fee Calc'!F:F,0))</f>
        <v>963541.96737118321</v>
      </c>
      <c r="J101" s="45">
        <f>INDEX('Fee Calc'!L:L,MATCH(C:C,'Fee Calc'!F:F,0))</f>
        <v>1456063.1428924245</v>
      </c>
      <c r="K101" s="45">
        <f t="shared" si="28"/>
        <v>2419605.1102636075</v>
      </c>
      <c r="L101" s="45">
        <v>1000220.71</v>
      </c>
      <c r="M101" s="45">
        <v>294506.78000000003</v>
      </c>
      <c r="N101" s="45">
        <f t="shared" si="29"/>
        <v>1294727.49</v>
      </c>
      <c r="O101" s="45">
        <v>3714572.0253344192</v>
      </c>
      <c r="P101" s="45">
        <v>1001011.8161188434</v>
      </c>
      <c r="Q101" s="45">
        <f t="shared" si="30"/>
        <v>4715583.8414532626</v>
      </c>
      <c r="R101" s="45" t="str">
        <f t="shared" si="31"/>
        <v>Yes</v>
      </c>
      <c r="S101" s="46" t="str">
        <f t="shared" si="31"/>
        <v>Yes</v>
      </c>
      <c r="T101" s="47">
        <f>ROUND(INDEX(Summary!H:H,MATCH(H:H,Summary!A:A,0)),2)</f>
        <v>1.57</v>
      </c>
      <c r="U101" s="47">
        <f>ROUND(INDEX(Summary!I:I,MATCH(H:H,Summary!A:A,0)),2)</f>
        <v>0.3</v>
      </c>
      <c r="V101" s="81">
        <f t="shared" si="32"/>
        <v>1512760.8887727577</v>
      </c>
      <c r="W101" s="81">
        <f t="shared" si="32"/>
        <v>436818.94286772731</v>
      </c>
      <c r="X101" s="45">
        <f t="shared" si="33"/>
        <v>1949579.831640485</v>
      </c>
      <c r="Y101" s="45" t="s">
        <v>2752</v>
      </c>
      <c r="Z101" s="45" t="str">
        <f t="shared" si="34"/>
        <v>No</v>
      </c>
      <c r="AA101" s="45" t="str">
        <f t="shared" si="34"/>
        <v>Yes</v>
      </c>
      <c r="AB101" s="45" t="str">
        <f t="shared" si="35"/>
        <v>Yes</v>
      </c>
      <c r="AC101" s="82">
        <f t="shared" si="36"/>
        <v>1.59</v>
      </c>
      <c r="AD101" s="82">
        <f t="shared" si="36"/>
        <v>0.27</v>
      </c>
      <c r="AE101" s="45">
        <f t="shared" si="37"/>
        <v>1532031.7281201815</v>
      </c>
      <c r="AF101" s="45">
        <f t="shared" si="37"/>
        <v>393137.04858095461</v>
      </c>
      <c r="AG101" s="45">
        <f t="shared" si="38"/>
        <v>1925168.776701136</v>
      </c>
      <c r="AH101" s="47">
        <f>IFERROR(ROUNDDOWN(INDEX('90% of ACR'!K:K,MATCH(H:H,'90% of ACR'!A:A,0))*IF(I101&gt;0,IF(O101&gt;0,$R$4*MAX(O101-V101,0),0),0)/I101,2),0)</f>
        <v>0</v>
      </c>
      <c r="AI101" s="82">
        <f>IFERROR(ROUNDDOWN(INDEX('90% of ACR'!R:R,MATCH(H:H,'90% of ACR'!A:A,0))*IF(J101&gt;0,IF(P101&gt;0,$R$4*MAX(P101-W101,0),0),0)/J101,2),0)</f>
        <v>0.25</v>
      </c>
      <c r="AJ101" s="45">
        <f t="shared" si="39"/>
        <v>0</v>
      </c>
      <c r="AK101" s="45">
        <f t="shared" si="39"/>
        <v>364015.78572310612</v>
      </c>
      <c r="AL101" s="47">
        <f t="shared" si="40"/>
        <v>1.57</v>
      </c>
      <c r="AM101" s="47">
        <f t="shared" si="40"/>
        <v>0.55000000000000004</v>
      </c>
      <c r="AN101" s="83">
        <f>IFERROR(INDEX('Fee Calc'!P:P,MATCH(C101,'Fee Calc'!F:F,0)),0)</f>
        <v>2313595.6173635912</v>
      </c>
      <c r="AO101" s="83">
        <f>IFERROR(INDEX('Fee Calc'!Q:Q,MATCH(C101,'Fee Calc'!F:F,0)),0)</f>
        <v>142727.37253125856</v>
      </c>
      <c r="AP101" s="83">
        <f t="shared" si="41"/>
        <v>2456322.9898948497</v>
      </c>
      <c r="AQ101" s="70">
        <f t="shared" si="42"/>
        <v>1048928.5190207774</v>
      </c>
      <c r="AR101" s="70">
        <f t="shared" si="43"/>
        <v>524464.25951038871</v>
      </c>
      <c r="AS101" s="70">
        <f t="shared" si="44"/>
        <v>524464.25951038871</v>
      </c>
    </row>
    <row r="102" spans="1:45">
      <c r="A102" s="104" t="s">
        <v>2289</v>
      </c>
      <c r="B102" s="124" t="s">
        <v>2289</v>
      </c>
      <c r="C102" s="31" t="s">
        <v>696</v>
      </c>
      <c r="D102" s="125" t="s">
        <v>696</v>
      </c>
      <c r="E102" s="119" t="s">
        <v>2661</v>
      </c>
      <c r="F102" s="100" t="s">
        <v>2291</v>
      </c>
      <c r="G102" s="100" t="s">
        <v>227</v>
      </c>
      <c r="H102" s="43" t="str">
        <f t="shared" si="27"/>
        <v>Rural MRSA West</v>
      </c>
      <c r="I102" s="45">
        <f>INDEX('Fee Calc'!M:M,MATCH(C:C,'Fee Calc'!F:F,0))</f>
        <v>39970.765772952334</v>
      </c>
      <c r="J102" s="45">
        <f>INDEX('Fee Calc'!L:L,MATCH(C:C,'Fee Calc'!F:F,0))</f>
        <v>160370.71461435966</v>
      </c>
      <c r="K102" s="45">
        <f t="shared" si="28"/>
        <v>200341.48038731201</v>
      </c>
      <c r="L102" s="45">
        <v>4996.26</v>
      </c>
      <c r="M102" s="45">
        <v>7013.35</v>
      </c>
      <c r="N102" s="45">
        <f t="shared" si="29"/>
        <v>12009.61</v>
      </c>
      <c r="O102" s="45">
        <v>7218.9544796083392</v>
      </c>
      <c r="P102" s="45">
        <v>13865.696265702078</v>
      </c>
      <c r="Q102" s="45">
        <f t="shared" si="30"/>
        <v>21084.650745310417</v>
      </c>
      <c r="R102" s="45" t="str">
        <f t="shared" si="31"/>
        <v>Yes</v>
      </c>
      <c r="S102" s="46" t="str">
        <f t="shared" si="31"/>
        <v>Yes</v>
      </c>
      <c r="T102" s="47">
        <f>ROUND(INDEX(Summary!H:H,MATCH(H:H,Summary!A:A,0)),2)</f>
        <v>0</v>
      </c>
      <c r="U102" s="47">
        <f>ROUND(INDEX(Summary!I:I,MATCH(H:H,Summary!A:A,0)),2)</f>
        <v>0.2</v>
      </c>
      <c r="V102" s="81">
        <f t="shared" si="32"/>
        <v>0</v>
      </c>
      <c r="W102" s="81">
        <f t="shared" si="32"/>
        <v>32074.142922871935</v>
      </c>
      <c r="X102" s="45">
        <f t="shared" si="33"/>
        <v>32074.142922871935</v>
      </c>
      <c r="Y102" s="45" t="s">
        <v>2752</v>
      </c>
      <c r="Z102" s="45" t="str">
        <f t="shared" si="34"/>
        <v>No</v>
      </c>
      <c r="AA102" s="45" t="str">
        <f t="shared" si="34"/>
        <v>No</v>
      </c>
      <c r="AB102" s="45" t="str">
        <f t="shared" si="35"/>
        <v>Yes</v>
      </c>
      <c r="AC102" s="82">
        <f t="shared" si="36"/>
        <v>0.13</v>
      </c>
      <c r="AD102" s="82">
        <f t="shared" si="36"/>
        <v>0</v>
      </c>
      <c r="AE102" s="45">
        <f t="shared" si="37"/>
        <v>5196.1995504838033</v>
      </c>
      <c r="AF102" s="45">
        <f t="shared" si="37"/>
        <v>0</v>
      </c>
      <c r="AG102" s="45">
        <f t="shared" si="38"/>
        <v>5196.1995504838033</v>
      </c>
      <c r="AH102" s="47">
        <f>IFERROR(ROUNDDOWN(INDEX('90% of ACR'!K:K,MATCH(H:H,'90% of ACR'!A:A,0))*IF(I102&gt;0,IF(O102&gt;0,$R$4*MAX(O102-V102,0),0),0)/I102,2),0)</f>
        <v>0</v>
      </c>
      <c r="AI102" s="82">
        <f>IFERROR(ROUNDDOWN(INDEX('90% of ACR'!R:R,MATCH(H:H,'90% of ACR'!A:A,0))*IF(J102&gt;0,IF(P102&gt;0,$R$4*MAX(P102-W102,0),0),0)/J102,2),0)</f>
        <v>0</v>
      </c>
      <c r="AJ102" s="45">
        <f t="shared" si="39"/>
        <v>0</v>
      </c>
      <c r="AK102" s="45">
        <f t="shared" si="39"/>
        <v>0</v>
      </c>
      <c r="AL102" s="47">
        <f t="shared" si="40"/>
        <v>0</v>
      </c>
      <c r="AM102" s="47">
        <f t="shared" si="40"/>
        <v>0.2</v>
      </c>
      <c r="AN102" s="83">
        <f>IFERROR(INDEX('Fee Calc'!P:P,MATCH(C102,'Fee Calc'!F:F,0)),0)</f>
        <v>32074.142922871935</v>
      </c>
      <c r="AO102" s="83">
        <f>IFERROR(INDEX('Fee Calc'!Q:Q,MATCH(C102,'Fee Calc'!F:F,0)),0)</f>
        <v>1988.0220738506673</v>
      </c>
      <c r="AP102" s="83">
        <f t="shared" si="41"/>
        <v>34062.164996722604</v>
      </c>
      <c r="AQ102" s="70">
        <f t="shared" si="42"/>
        <v>14545.634442880448</v>
      </c>
      <c r="AR102" s="70">
        <f t="shared" si="43"/>
        <v>7272.8172214402239</v>
      </c>
      <c r="AS102" s="70">
        <f t="shared" si="44"/>
        <v>7272.8172214402239</v>
      </c>
    </row>
    <row r="103" spans="1:45">
      <c r="A103" s="104" t="s">
        <v>738</v>
      </c>
      <c r="B103" s="124" t="s">
        <v>738</v>
      </c>
      <c r="C103" s="31" t="s">
        <v>739</v>
      </c>
      <c r="D103" s="125" t="s">
        <v>739</v>
      </c>
      <c r="E103" s="119" t="s">
        <v>2336</v>
      </c>
      <c r="F103" s="100" t="s">
        <v>2279</v>
      </c>
      <c r="G103" s="100" t="s">
        <v>300</v>
      </c>
      <c r="H103" s="43" t="str">
        <f t="shared" si="27"/>
        <v>Urban Harris</v>
      </c>
      <c r="I103" s="45">
        <f>INDEX('Fee Calc'!M:M,MATCH(C:C,'Fee Calc'!F:F,0))</f>
        <v>21547310.890957348</v>
      </c>
      <c r="J103" s="45">
        <f>INDEX('Fee Calc'!L:L,MATCH(C:C,'Fee Calc'!F:F,0))</f>
        <v>18712966.116620883</v>
      </c>
      <c r="K103" s="45">
        <f t="shared" si="28"/>
        <v>40260277.007578231</v>
      </c>
      <c r="L103" s="45">
        <v>56522609.450000003</v>
      </c>
      <c r="M103" s="45">
        <v>14652366.119999999</v>
      </c>
      <c r="N103" s="45">
        <f t="shared" si="29"/>
        <v>71174975.570000008</v>
      </c>
      <c r="O103" s="45">
        <v>-42004555.401682712</v>
      </c>
      <c r="P103" s="45">
        <v>5477616.0115708597</v>
      </c>
      <c r="Q103" s="45">
        <f t="shared" si="30"/>
        <v>-36526939.390111849</v>
      </c>
      <c r="R103" s="45" t="str">
        <f t="shared" si="31"/>
        <v>No</v>
      </c>
      <c r="S103" s="46" t="str">
        <f t="shared" si="31"/>
        <v>Yes</v>
      </c>
      <c r="T103" s="47">
        <f>ROUND(INDEX(Summary!H:H,MATCH(H:H,Summary!A:A,0)),2)</f>
        <v>1.57</v>
      </c>
      <c r="U103" s="47">
        <f>ROUND(INDEX(Summary!I:I,MATCH(H:H,Summary!A:A,0)),2)</f>
        <v>0.3</v>
      </c>
      <c r="V103" s="81">
        <f t="shared" si="32"/>
        <v>33829278.098803036</v>
      </c>
      <c r="W103" s="81">
        <f t="shared" si="32"/>
        <v>5613889.8349862648</v>
      </c>
      <c r="X103" s="45">
        <f t="shared" si="33"/>
        <v>39443167.933789298</v>
      </c>
      <c r="Y103" s="45" t="s">
        <v>2753</v>
      </c>
      <c r="Z103" s="45" t="str">
        <f t="shared" si="34"/>
        <v>No</v>
      </c>
      <c r="AA103" s="45" t="str">
        <f t="shared" si="34"/>
        <v>No</v>
      </c>
      <c r="AB103" s="45" t="str">
        <f t="shared" si="35"/>
        <v>No</v>
      </c>
      <c r="AC103" s="82">
        <f t="shared" si="36"/>
        <v>0</v>
      </c>
      <c r="AD103" s="82">
        <f t="shared" si="36"/>
        <v>0</v>
      </c>
      <c r="AE103" s="45">
        <f t="shared" si="37"/>
        <v>0</v>
      </c>
      <c r="AF103" s="45">
        <f t="shared" si="37"/>
        <v>0</v>
      </c>
      <c r="AG103" s="45">
        <f t="shared" si="38"/>
        <v>0</v>
      </c>
      <c r="AH103" s="47">
        <f>IFERROR(ROUNDDOWN(INDEX('90% of ACR'!K:K,MATCH(H:H,'90% of ACR'!A:A,0))*IF(I103&gt;0,IF(O103&gt;0,$R$4*MAX(O103-V103,0),0),0)/I103,2),0)</f>
        <v>0</v>
      </c>
      <c r="AI103" s="82">
        <f>IFERROR(ROUNDDOWN(INDEX('90% of ACR'!R:R,MATCH(H:H,'90% of ACR'!A:A,0))*IF(J103&gt;0,IF(P103&gt;0,$R$4*MAX(P103-W103,0),0),0)/J103,2),0)</f>
        <v>0</v>
      </c>
      <c r="AJ103" s="45">
        <f t="shared" si="39"/>
        <v>0</v>
      </c>
      <c r="AK103" s="45">
        <f t="shared" si="39"/>
        <v>0</v>
      </c>
      <c r="AL103" s="47">
        <f t="shared" si="40"/>
        <v>1.57</v>
      </c>
      <c r="AM103" s="47">
        <f t="shared" si="40"/>
        <v>0.3</v>
      </c>
      <c r="AN103" s="83">
        <f>IFERROR(INDEX('Fee Calc'!P:P,MATCH(C103,'Fee Calc'!F:F,0)),0)</f>
        <v>39443167.933789298</v>
      </c>
      <c r="AO103" s="83">
        <f>IFERROR(INDEX('Fee Calc'!Q:Q,MATCH(C103,'Fee Calc'!F:F,0)),0)</f>
        <v>2455374.9196260758</v>
      </c>
      <c r="AP103" s="83">
        <f t="shared" si="41"/>
        <v>41898542.85341537</v>
      </c>
      <c r="AQ103" s="70">
        <f t="shared" si="42"/>
        <v>17892018.551779673</v>
      </c>
      <c r="AR103" s="70">
        <f t="shared" si="43"/>
        <v>8946009.2758898363</v>
      </c>
      <c r="AS103" s="70">
        <f t="shared" si="44"/>
        <v>8946009.2758898363</v>
      </c>
    </row>
    <row r="104" spans="1:45">
      <c r="A104" s="104" t="s">
        <v>635</v>
      </c>
      <c r="B104" s="124" t="s">
        <v>635</v>
      </c>
      <c r="C104" s="31" t="s">
        <v>636</v>
      </c>
      <c r="D104" s="125" t="s">
        <v>636</v>
      </c>
      <c r="E104" s="119" t="s">
        <v>2422</v>
      </c>
      <c r="F104" s="100" t="s">
        <v>2279</v>
      </c>
      <c r="G104" s="100" t="s">
        <v>1365</v>
      </c>
      <c r="H104" s="43" t="str">
        <f t="shared" si="27"/>
        <v>Urban Tarrant</v>
      </c>
      <c r="I104" s="45">
        <f>INDEX('Fee Calc'!M:M,MATCH(C:C,'Fee Calc'!F:F,0))</f>
        <v>1013556.6557208917</v>
      </c>
      <c r="J104" s="45">
        <f>INDEX('Fee Calc'!L:L,MATCH(C:C,'Fee Calc'!F:F,0))</f>
        <v>1188231.8295123274</v>
      </c>
      <c r="K104" s="45">
        <f t="shared" si="28"/>
        <v>2201788.4852332193</v>
      </c>
      <c r="L104" s="45">
        <v>1169953.48</v>
      </c>
      <c r="M104" s="45">
        <v>593646.52</v>
      </c>
      <c r="N104" s="45">
        <f t="shared" si="29"/>
        <v>1763600</v>
      </c>
      <c r="O104" s="45">
        <v>3984386.1943275104</v>
      </c>
      <c r="P104" s="45">
        <v>1229939.4945206696</v>
      </c>
      <c r="Q104" s="45">
        <f t="shared" si="30"/>
        <v>5214325.6888481798</v>
      </c>
      <c r="R104" s="45" t="str">
        <f t="shared" si="31"/>
        <v>Yes</v>
      </c>
      <c r="S104" s="46" t="str">
        <f t="shared" si="31"/>
        <v>Yes</v>
      </c>
      <c r="T104" s="47">
        <f>ROUND(INDEX(Summary!H:H,MATCH(H:H,Summary!A:A,0)),2)</f>
        <v>0.74</v>
      </c>
      <c r="U104" s="47">
        <f>ROUND(INDEX(Summary!I:I,MATCH(H:H,Summary!A:A,0)),2)</f>
        <v>0.49</v>
      </c>
      <c r="V104" s="81">
        <f t="shared" si="32"/>
        <v>750031.9252334598</v>
      </c>
      <c r="W104" s="81">
        <f t="shared" si="32"/>
        <v>582233.59646104043</v>
      </c>
      <c r="X104" s="45">
        <f t="shared" si="33"/>
        <v>1332265.5216945002</v>
      </c>
      <c r="Y104" s="45" t="s">
        <v>2752</v>
      </c>
      <c r="Z104" s="45" t="str">
        <f t="shared" si="34"/>
        <v>Yes</v>
      </c>
      <c r="AA104" s="45" t="str">
        <f t="shared" si="34"/>
        <v>Yes</v>
      </c>
      <c r="AB104" s="45" t="str">
        <f t="shared" si="35"/>
        <v>Yes</v>
      </c>
      <c r="AC104" s="82">
        <f t="shared" si="36"/>
        <v>2.2200000000000002</v>
      </c>
      <c r="AD104" s="82">
        <f t="shared" si="36"/>
        <v>0.38</v>
      </c>
      <c r="AE104" s="45">
        <f t="shared" si="37"/>
        <v>2250095.7757003796</v>
      </c>
      <c r="AF104" s="45">
        <f t="shared" si="37"/>
        <v>451528.09521468444</v>
      </c>
      <c r="AG104" s="45">
        <f t="shared" si="38"/>
        <v>2701623.8709150641</v>
      </c>
      <c r="AH104" s="47">
        <f>IFERROR(ROUNDDOWN(INDEX('90% of ACR'!K:K,MATCH(H:H,'90% of ACR'!A:A,0))*IF(I104&gt;0,IF(O104&gt;0,$R$4*MAX(O104-V104,0),0),0)/I104,2),0)</f>
        <v>2.2200000000000002</v>
      </c>
      <c r="AI104" s="82">
        <f>IFERROR(ROUNDDOWN(INDEX('90% of ACR'!R:R,MATCH(H:H,'90% of ACR'!A:A,0))*IF(J104&gt;0,IF(P104&gt;0,$R$4*MAX(P104-W104,0),0),0)/J104,2),0)</f>
        <v>0.36</v>
      </c>
      <c r="AJ104" s="45">
        <f t="shared" si="39"/>
        <v>2250095.7757003796</v>
      </c>
      <c r="AK104" s="45">
        <f t="shared" si="39"/>
        <v>427763.45862443786</v>
      </c>
      <c r="AL104" s="47">
        <f t="shared" si="40"/>
        <v>2.96</v>
      </c>
      <c r="AM104" s="47">
        <f t="shared" si="40"/>
        <v>0.85</v>
      </c>
      <c r="AN104" s="83">
        <f>IFERROR(INDEX('Fee Calc'!P:P,MATCH(C104,'Fee Calc'!F:F,0)),0)</f>
        <v>4010124.7560193175</v>
      </c>
      <c r="AO104" s="83">
        <f>IFERROR(INDEX('Fee Calc'!Q:Q,MATCH(C104,'Fee Calc'!F:F,0)),0)</f>
        <v>252084.8839068127</v>
      </c>
      <c r="AP104" s="83">
        <f t="shared" si="41"/>
        <v>4262209.63992613</v>
      </c>
      <c r="AQ104" s="70">
        <f t="shared" si="42"/>
        <v>1820099.9069569351</v>
      </c>
      <c r="AR104" s="70">
        <f t="shared" si="43"/>
        <v>910049.95347846753</v>
      </c>
      <c r="AS104" s="70">
        <f t="shared" si="44"/>
        <v>910049.95347846753</v>
      </c>
    </row>
    <row r="105" spans="1:45">
      <c r="A105" s="104" t="s">
        <v>605</v>
      </c>
      <c r="B105" s="124" t="s">
        <v>605</v>
      </c>
      <c r="C105" s="31" t="s">
        <v>606</v>
      </c>
      <c r="D105" s="125" t="s">
        <v>606</v>
      </c>
      <c r="E105" s="119" t="s">
        <v>2425</v>
      </c>
      <c r="F105" s="100" t="s">
        <v>2279</v>
      </c>
      <c r="G105" s="100" t="s">
        <v>223</v>
      </c>
      <c r="H105" s="43" t="str">
        <f t="shared" si="27"/>
        <v>Urban Dallas</v>
      </c>
      <c r="I105" s="45">
        <f>INDEX('Fee Calc'!M:M,MATCH(C:C,'Fee Calc'!F:F,0))</f>
        <v>8780839.70538266</v>
      </c>
      <c r="J105" s="45">
        <f>INDEX('Fee Calc'!L:L,MATCH(C:C,'Fee Calc'!F:F,0))</f>
        <v>2288413.844259996</v>
      </c>
      <c r="K105" s="45">
        <f t="shared" si="28"/>
        <v>11069253.549642656</v>
      </c>
      <c r="L105" s="45">
        <v>2545159.16</v>
      </c>
      <c r="M105" s="45">
        <v>1204466.96</v>
      </c>
      <c r="N105" s="45">
        <f t="shared" si="29"/>
        <v>3749626.12</v>
      </c>
      <c r="O105" s="45">
        <v>15272022.449865613</v>
      </c>
      <c r="P105" s="45">
        <v>2377713.1714110356</v>
      </c>
      <c r="Q105" s="45">
        <f t="shared" si="30"/>
        <v>17649735.621276647</v>
      </c>
      <c r="R105" s="45" t="str">
        <f t="shared" si="31"/>
        <v>Yes</v>
      </c>
      <c r="S105" s="46" t="str">
        <f t="shared" si="31"/>
        <v>Yes</v>
      </c>
      <c r="T105" s="47">
        <f>ROUND(INDEX(Summary!H:H,MATCH(H:H,Summary!A:A,0)),2)</f>
        <v>0.54</v>
      </c>
      <c r="U105" s="47">
        <f>ROUND(INDEX(Summary!I:I,MATCH(H:H,Summary!A:A,0)),2)</f>
        <v>0.27</v>
      </c>
      <c r="V105" s="81">
        <f t="shared" si="32"/>
        <v>4741653.4409066364</v>
      </c>
      <c r="W105" s="81">
        <f t="shared" si="32"/>
        <v>617871.73795019893</v>
      </c>
      <c r="X105" s="45">
        <f t="shared" si="33"/>
        <v>5359525.1788568357</v>
      </c>
      <c r="Y105" s="45" t="s">
        <v>2752</v>
      </c>
      <c r="Z105" s="45" t="str">
        <f t="shared" si="34"/>
        <v>Yes</v>
      </c>
      <c r="AA105" s="45" t="str">
        <f t="shared" si="34"/>
        <v>Yes</v>
      </c>
      <c r="AB105" s="45" t="str">
        <f t="shared" si="35"/>
        <v>Yes</v>
      </c>
      <c r="AC105" s="82">
        <f t="shared" si="36"/>
        <v>0.84</v>
      </c>
      <c r="AD105" s="82">
        <f t="shared" si="36"/>
        <v>0.54</v>
      </c>
      <c r="AE105" s="45">
        <f t="shared" si="37"/>
        <v>7375905.3525214344</v>
      </c>
      <c r="AF105" s="45">
        <f t="shared" si="37"/>
        <v>1235743.4759003979</v>
      </c>
      <c r="AG105" s="45">
        <f t="shared" si="38"/>
        <v>8611648.828421833</v>
      </c>
      <c r="AH105" s="47">
        <f>IFERROR(ROUNDDOWN(INDEX('90% of ACR'!K:K,MATCH(H:H,'90% of ACR'!A:A,0))*IF(I105&gt;0,IF(O105&gt;0,$R$4*MAX(O105-V105,0),0),0)/I105,2),0)</f>
        <v>0.83</v>
      </c>
      <c r="AI105" s="82">
        <f>IFERROR(ROUNDDOWN(INDEX('90% of ACR'!R:R,MATCH(H:H,'90% of ACR'!A:A,0))*IF(J105&gt;0,IF(P105&gt;0,$R$4*MAX(P105-W105,0),0),0)/J105,2),0)</f>
        <v>0.53</v>
      </c>
      <c r="AJ105" s="45">
        <f t="shared" si="39"/>
        <v>7288096.9554676078</v>
      </c>
      <c r="AK105" s="45">
        <f t="shared" si="39"/>
        <v>1212859.337457798</v>
      </c>
      <c r="AL105" s="47">
        <f t="shared" si="40"/>
        <v>1.37</v>
      </c>
      <c r="AM105" s="47">
        <f t="shared" si="40"/>
        <v>0.8</v>
      </c>
      <c r="AN105" s="83">
        <f>IFERROR(INDEX('Fee Calc'!P:P,MATCH(C105,'Fee Calc'!F:F,0)),0)</f>
        <v>13860481.471782243</v>
      </c>
      <c r="AO105" s="83">
        <f>IFERROR(INDEX('Fee Calc'!Q:Q,MATCH(C105,'Fee Calc'!F:F,0)),0)</f>
        <v>855576.52347934165</v>
      </c>
      <c r="AP105" s="83">
        <f t="shared" si="41"/>
        <v>14716057.995261585</v>
      </c>
      <c r="AQ105" s="70">
        <f t="shared" si="42"/>
        <v>6284227.6778325457</v>
      </c>
      <c r="AR105" s="70">
        <f t="shared" si="43"/>
        <v>3142113.8389162729</v>
      </c>
      <c r="AS105" s="70">
        <f t="shared" si="44"/>
        <v>3142113.8389162729</v>
      </c>
    </row>
    <row r="106" spans="1:45">
      <c r="A106" s="104" t="s">
        <v>88</v>
      </c>
      <c r="B106" s="124" t="s">
        <v>88</v>
      </c>
      <c r="C106" s="31" t="s">
        <v>89</v>
      </c>
      <c r="D106" s="125" t="s">
        <v>89</v>
      </c>
      <c r="E106" s="119" t="s">
        <v>2679</v>
      </c>
      <c r="F106" s="100" t="s">
        <v>2291</v>
      </c>
      <c r="G106" s="100" t="s">
        <v>1486</v>
      </c>
      <c r="H106" s="43" t="str">
        <f t="shared" si="27"/>
        <v>Rural MRSA Central</v>
      </c>
      <c r="I106" s="45">
        <f>INDEX('Fee Calc'!M:M,MATCH(C:C,'Fee Calc'!F:F,0))</f>
        <v>126675.77617719596</v>
      </c>
      <c r="J106" s="45">
        <f>INDEX('Fee Calc'!L:L,MATCH(C:C,'Fee Calc'!F:F,0))</f>
        <v>1144353.2082602065</v>
      </c>
      <c r="K106" s="45">
        <f t="shared" si="28"/>
        <v>1271028.9844374026</v>
      </c>
      <c r="L106" s="45">
        <v>119203.24</v>
      </c>
      <c r="M106" s="45">
        <v>-11717.15</v>
      </c>
      <c r="N106" s="45">
        <f t="shared" si="29"/>
        <v>107486.09000000001</v>
      </c>
      <c r="O106" s="45">
        <v>-2048.4552462631691</v>
      </c>
      <c r="P106" s="45">
        <v>-189931.99680109665</v>
      </c>
      <c r="Q106" s="45">
        <f t="shared" si="30"/>
        <v>-191980.45204735984</v>
      </c>
      <c r="R106" s="45" t="str">
        <f t="shared" si="31"/>
        <v>No</v>
      </c>
      <c r="S106" s="46" t="str">
        <f t="shared" si="31"/>
        <v>No</v>
      </c>
      <c r="T106" s="47">
        <f>ROUND(INDEX(Summary!H:H,MATCH(H:H,Summary!A:A,0)),2)</f>
        <v>0.09</v>
      </c>
      <c r="U106" s="47">
        <f>ROUND(INDEX(Summary!I:I,MATCH(H:H,Summary!A:A,0)),2)</f>
        <v>0.09</v>
      </c>
      <c r="V106" s="81">
        <f t="shared" si="32"/>
        <v>11400.819855947637</v>
      </c>
      <c r="W106" s="81">
        <f t="shared" si="32"/>
        <v>102991.78874341858</v>
      </c>
      <c r="X106" s="45">
        <f t="shared" si="33"/>
        <v>114392.60859936621</v>
      </c>
      <c r="Y106" s="45" t="s">
        <v>2752</v>
      </c>
      <c r="Z106" s="45" t="str">
        <f t="shared" si="34"/>
        <v>No</v>
      </c>
      <c r="AA106" s="45" t="str">
        <f t="shared" si="34"/>
        <v>No</v>
      </c>
      <c r="AB106" s="45" t="str">
        <f t="shared" si="35"/>
        <v>No</v>
      </c>
      <c r="AC106" s="82">
        <f t="shared" si="36"/>
        <v>0</v>
      </c>
      <c r="AD106" s="82">
        <f t="shared" si="36"/>
        <v>0</v>
      </c>
      <c r="AE106" s="45">
        <f t="shared" si="37"/>
        <v>0</v>
      </c>
      <c r="AF106" s="45">
        <f t="shared" si="37"/>
        <v>0</v>
      </c>
      <c r="AG106" s="45">
        <f t="shared" si="38"/>
        <v>0</v>
      </c>
      <c r="AH106" s="47">
        <f>IFERROR(ROUNDDOWN(INDEX('90% of ACR'!K:K,MATCH(H:H,'90% of ACR'!A:A,0))*IF(I106&gt;0,IF(O106&gt;0,$R$4*MAX(O106-V106,0),0),0)/I106,2),0)</f>
        <v>0</v>
      </c>
      <c r="AI106" s="82">
        <f>IFERROR(ROUNDDOWN(INDEX('90% of ACR'!R:R,MATCH(H:H,'90% of ACR'!A:A,0))*IF(J106&gt;0,IF(P106&gt;0,$R$4*MAX(P106-W106,0),0),0)/J106,2),0)</f>
        <v>0</v>
      </c>
      <c r="AJ106" s="45">
        <f t="shared" si="39"/>
        <v>0</v>
      </c>
      <c r="AK106" s="45">
        <f t="shared" si="39"/>
        <v>0</v>
      </c>
      <c r="AL106" s="47">
        <f t="shared" si="40"/>
        <v>0.09</v>
      </c>
      <c r="AM106" s="47">
        <f t="shared" si="40"/>
        <v>0.09</v>
      </c>
      <c r="AN106" s="83">
        <f>IFERROR(INDEX('Fee Calc'!P:P,MATCH(C106,'Fee Calc'!F:F,0)),0)</f>
        <v>114392.60859936621</v>
      </c>
      <c r="AO106" s="83">
        <f>IFERROR(INDEX('Fee Calc'!Q:Q,MATCH(C106,'Fee Calc'!F:F,0)),0)</f>
        <v>7079.8610265465049</v>
      </c>
      <c r="AP106" s="83">
        <f t="shared" si="41"/>
        <v>121472.46962591272</v>
      </c>
      <c r="AQ106" s="70">
        <f t="shared" si="42"/>
        <v>51872.631649292765</v>
      </c>
      <c r="AR106" s="70">
        <f t="shared" si="43"/>
        <v>25936.315824646383</v>
      </c>
      <c r="AS106" s="70">
        <f t="shared" si="44"/>
        <v>25936.315824646383</v>
      </c>
    </row>
    <row r="107" spans="1:45">
      <c r="A107" s="104" t="s">
        <v>828</v>
      </c>
      <c r="B107" s="124" t="s">
        <v>828</v>
      </c>
      <c r="C107" s="31" t="s">
        <v>829</v>
      </c>
      <c r="D107" s="125" t="s">
        <v>829</v>
      </c>
      <c r="E107" s="119" t="s">
        <v>2423</v>
      </c>
      <c r="F107" s="100" t="s">
        <v>2279</v>
      </c>
      <c r="G107" s="100" t="s">
        <v>1365</v>
      </c>
      <c r="H107" s="43" t="str">
        <f t="shared" si="27"/>
        <v>Urban Tarrant</v>
      </c>
      <c r="I107" s="45">
        <f>INDEX('Fee Calc'!M:M,MATCH(C:C,'Fee Calc'!F:F,0))</f>
        <v>3530221.3686231631</v>
      </c>
      <c r="J107" s="45">
        <f>INDEX('Fee Calc'!L:L,MATCH(C:C,'Fee Calc'!F:F,0))</f>
        <v>1667707.4207901794</v>
      </c>
      <c r="K107" s="45">
        <f t="shared" si="28"/>
        <v>5197928.7894133423</v>
      </c>
      <c r="L107" s="45">
        <v>2455824.59</v>
      </c>
      <c r="M107" s="45">
        <v>842247.27</v>
      </c>
      <c r="N107" s="45">
        <f t="shared" si="29"/>
        <v>3298071.86</v>
      </c>
      <c r="O107" s="45">
        <v>7382363.5924247615</v>
      </c>
      <c r="P107" s="45">
        <v>1870803.0582031452</v>
      </c>
      <c r="Q107" s="45">
        <f t="shared" si="30"/>
        <v>9253166.6506279074</v>
      </c>
      <c r="R107" s="45" t="str">
        <f t="shared" si="31"/>
        <v>Yes</v>
      </c>
      <c r="S107" s="46" t="str">
        <f t="shared" si="31"/>
        <v>Yes</v>
      </c>
      <c r="T107" s="47">
        <f>ROUND(INDEX(Summary!H:H,MATCH(H:H,Summary!A:A,0)),2)</f>
        <v>0.74</v>
      </c>
      <c r="U107" s="47">
        <f>ROUND(INDEX(Summary!I:I,MATCH(H:H,Summary!A:A,0)),2)</f>
        <v>0.49</v>
      </c>
      <c r="V107" s="81">
        <f t="shared" si="32"/>
        <v>2612363.8127811407</v>
      </c>
      <c r="W107" s="81">
        <f t="shared" si="32"/>
        <v>817176.63618718786</v>
      </c>
      <c r="X107" s="45">
        <f t="shared" si="33"/>
        <v>3429540.4489683285</v>
      </c>
      <c r="Y107" s="45" t="s">
        <v>2752</v>
      </c>
      <c r="Z107" s="45" t="str">
        <f t="shared" si="34"/>
        <v>Yes</v>
      </c>
      <c r="AA107" s="45" t="str">
        <f t="shared" si="34"/>
        <v>Yes</v>
      </c>
      <c r="AB107" s="45" t="str">
        <f t="shared" si="35"/>
        <v>Yes</v>
      </c>
      <c r="AC107" s="82">
        <f t="shared" si="36"/>
        <v>0.94</v>
      </c>
      <c r="AD107" s="82">
        <f t="shared" si="36"/>
        <v>0.44</v>
      </c>
      <c r="AE107" s="45">
        <f t="shared" si="37"/>
        <v>3318408.086505773</v>
      </c>
      <c r="AF107" s="45">
        <f t="shared" si="37"/>
        <v>733791.2651476789</v>
      </c>
      <c r="AG107" s="45">
        <f t="shared" si="38"/>
        <v>4052199.351653452</v>
      </c>
      <c r="AH107" s="47">
        <f>IFERROR(ROUNDDOWN(INDEX('90% of ACR'!K:K,MATCH(H:H,'90% of ACR'!A:A,0))*IF(I107&gt;0,IF(O107&gt;0,$R$4*MAX(O107-V107,0),0),0)/I107,2),0)</f>
        <v>0.94</v>
      </c>
      <c r="AI107" s="82">
        <f>IFERROR(ROUNDDOWN(INDEX('90% of ACR'!R:R,MATCH(H:H,'90% of ACR'!A:A,0))*IF(J107&gt;0,IF(P107&gt;0,$R$4*MAX(P107-W107,0),0),0)/J107,2),0)</f>
        <v>0.42</v>
      </c>
      <c r="AJ107" s="45">
        <f t="shared" si="39"/>
        <v>3318408.086505773</v>
      </c>
      <c r="AK107" s="45">
        <f t="shared" si="39"/>
        <v>700437.11673187534</v>
      </c>
      <c r="AL107" s="47">
        <f t="shared" si="40"/>
        <v>1.68</v>
      </c>
      <c r="AM107" s="47">
        <f t="shared" si="40"/>
        <v>0.90999999999999992</v>
      </c>
      <c r="AN107" s="83">
        <f>IFERROR(INDEX('Fee Calc'!P:P,MATCH(C107,'Fee Calc'!F:F,0)),0)</f>
        <v>7448385.6522059767</v>
      </c>
      <c r="AO107" s="83">
        <f>IFERROR(INDEX('Fee Calc'!Q:Q,MATCH(C107,'Fee Calc'!F:F,0)),0)</f>
        <v>457133.2318138202</v>
      </c>
      <c r="AP107" s="83">
        <f t="shared" si="41"/>
        <v>7905518.8840197967</v>
      </c>
      <c r="AQ107" s="70">
        <f t="shared" si="42"/>
        <v>3375909.540080742</v>
      </c>
      <c r="AR107" s="70">
        <f t="shared" si="43"/>
        <v>1687954.770040371</v>
      </c>
      <c r="AS107" s="70">
        <f t="shared" si="44"/>
        <v>1687954.770040371</v>
      </c>
    </row>
    <row r="108" spans="1:45">
      <c r="A108" s="104" t="s">
        <v>632</v>
      </c>
      <c r="B108" s="124" t="s">
        <v>632</v>
      </c>
      <c r="C108" s="31" t="s">
        <v>633</v>
      </c>
      <c r="D108" s="125" t="s">
        <v>633</v>
      </c>
      <c r="E108" s="119" t="s">
        <v>2417</v>
      </c>
      <c r="F108" s="100" t="s">
        <v>2279</v>
      </c>
      <c r="G108" s="100" t="s">
        <v>223</v>
      </c>
      <c r="H108" s="43" t="str">
        <f t="shared" si="27"/>
        <v>Urban Dallas</v>
      </c>
      <c r="I108" s="45">
        <f>INDEX('Fee Calc'!M:M,MATCH(C:C,'Fee Calc'!F:F,0))</f>
        <v>11542667.4062654</v>
      </c>
      <c r="J108" s="45">
        <f>INDEX('Fee Calc'!L:L,MATCH(C:C,'Fee Calc'!F:F,0))</f>
        <v>1821222.1639155911</v>
      </c>
      <c r="K108" s="45">
        <f t="shared" si="28"/>
        <v>13363889.570180992</v>
      </c>
      <c r="L108" s="45">
        <v>2637447.7599999998</v>
      </c>
      <c r="M108" s="45">
        <v>1307159.07</v>
      </c>
      <c r="N108" s="45">
        <f t="shared" si="29"/>
        <v>3944606.83</v>
      </c>
      <c r="O108" s="45">
        <v>24430637.362798452</v>
      </c>
      <c r="P108" s="45">
        <v>1977344.5209417031</v>
      </c>
      <c r="Q108" s="45">
        <f t="shared" si="30"/>
        <v>26407981.883740157</v>
      </c>
      <c r="R108" s="45" t="str">
        <f t="shared" si="31"/>
        <v>Yes</v>
      </c>
      <c r="S108" s="46" t="str">
        <f t="shared" si="31"/>
        <v>Yes</v>
      </c>
      <c r="T108" s="47">
        <f>ROUND(INDEX(Summary!H:H,MATCH(H:H,Summary!A:A,0)),2)</f>
        <v>0.54</v>
      </c>
      <c r="U108" s="47">
        <f>ROUND(INDEX(Summary!I:I,MATCH(H:H,Summary!A:A,0)),2)</f>
        <v>0.27</v>
      </c>
      <c r="V108" s="81">
        <f t="shared" si="32"/>
        <v>6233040.3993833167</v>
      </c>
      <c r="W108" s="81">
        <f t="shared" si="32"/>
        <v>491729.98425720964</v>
      </c>
      <c r="X108" s="45">
        <f t="shared" si="33"/>
        <v>6724770.3836405268</v>
      </c>
      <c r="Y108" s="45" t="s">
        <v>2752</v>
      </c>
      <c r="Z108" s="45" t="str">
        <f t="shared" si="34"/>
        <v>Yes</v>
      </c>
      <c r="AA108" s="45" t="str">
        <f t="shared" si="34"/>
        <v>Yes</v>
      </c>
      <c r="AB108" s="45" t="str">
        <f t="shared" si="35"/>
        <v>Yes</v>
      </c>
      <c r="AC108" s="82">
        <f t="shared" si="36"/>
        <v>1.1000000000000001</v>
      </c>
      <c r="AD108" s="82">
        <f t="shared" si="36"/>
        <v>0.56999999999999995</v>
      </c>
      <c r="AE108" s="45">
        <f t="shared" si="37"/>
        <v>12696934.146891942</v>
      </c>
      <c r="AF108" s="45">
        <f t="shared" si="37"/>
        <v>1038096.6334318868</v>
      </c>
      <c r="AG108" s="45">
        <f t="shared" si="38"/>
        <v>13735030.78032383</v>
      </c>
      <c r="AH108" s="47">
        <f>IFERROR(ROUNDDOWN(INDEX('90% of ACR'!K:K,MATCH(H:H,'90% of ACR'!A:A,0))*IF(I108&gt;0,IF(O108&gt;0,$R$4*MAX(O108-V108,0),0),0)/I108,2),0)</f>
        <v>1.0900000000000001</v>
      </c>
      <c r="AI108" s="82">
        <f>IFERROR(ROUNDDOWN(INDEX('90% of ACR'!R:R,MATCH(H:H,'90% of ACR'!A:A,0))*IF(J108&gt;0,IF(P108&gt;0,$R$4*MAX(P108-W108,0),0),0)/J108,2),0)</f>
        <v>0.56000000000000005</v>
      </c>
      <c r="AJ108" s="45">
        <f t="shared" si="39"/>
        <v>12581507.472829288</v>
      </c>
      <c r="AK108" s="45">
        <f t="shared" si="39"/>
        <v>1019884.4117927311</v>
      </c>
      <c r="AL108" s="47">
        <f t="shared" si="40"/>
        <v>1.6300000000000001</v>
      </c>
      <c r="AM108" s="47">
        <f t="shared" si="40"/>
        <v>0.83000000000000007</v>
      </c>
      <c r="AN108" s="83">
        <f>IFERROR(INDEX('Fee Calc'!P:P,MATCH(C108,'Fee Calc'!F:F,0)),0)</f>
        <v>20326162.268262543</v>
      </c>
      <c r="AO108" s="83">
        <f>IFERROR(INDEX('Fee Calc'!Q:Q,MATCH(C108,'Fee Calc'!F:F,0)),0)</f>
        <v>1260576.6107241637</v>
      </c>
      <c r="AP108" s="83">
        <f t="shared" si="41"/>
        <v>21586738.878986705</v>
      </c>
      <c r="AQ108" s="70">
        <f t="shared" si="42"/>
        <v>9218228.2769714501</v>
      </c>
      <c r="AR108" s="70">
        <f t="shared" si="43"/>
        <v>4609114.138485725</v>
      </c>
      <c r="AS108" s="70">
        <f t="shared" si="44"/>
        <v>4609114.138485725</v>
      </c>
    </row>
    <row r="109" spans="1:45">
      <c r="A109" s="104" t="s">
        <v>338</v>
      </c>
      <c r="B109" s="124" t="s">
        <v>338</v>
      </c>
      <c r="C109" s="31" t="s">
        <v>339</v>
      </c>
      <c r="D109" s="125" t="s">
        <v>339</v>
      </c>
      <c r="E109" s="119" t="s">
        <v>2667</v>
      </c>
      <c r="F109" s="100" t="s">
        <v>2291</v>
      </c>
      <c r="G109" s="100" t="s">
        <v>227</v>
      </c>
      <c r="H109" s="43" t="str">
        <f t="shared" si="27"/>
        <v>Rural MRSA West</v>
      </c>
      <c r="I109" s="45">
        <f>INDEX('Fee Calc'!M:M,MATCH(C:C,'Fee Calc'!F:F,0))</f>
        <v>255462.33645202097</v>
      </c>
      <c r="J109" s="45">
        <f>INDEX('Fee Calc'!L:L,MATCH(C:C,'Fee Calc'!F:F,0))</f>
        <v>290317.37719267001</v>
      </c>
      <c r="K109" s="45">
        <f t="shared" si="28"/>
        <v>545779.71364469104</v>
      </c>
      <c r="L109" s="45">
        <v>24363.51</v>
      </c>
      <c r="M109" s="45">
        <v>-31057.79</v>
      </c>
      <c r="N109" s="45">
        <f t="shared" si="29"/>
        <v>-6694.2800000000025</v>
      </c>
      <c r="O109" s="45">
        <v>-29521.161239655761</v>
      </c>
      <c r="P109" s="45">
        <v>52361.889783375387</v>
      </c>
      <c r="Q109" s="45">
        <f t="shared" si="30"/>
        <v>22840.728543719626</v>
      </c>
      <c r="R109" s="45" t="str">
        <f t="shared" si="31"/>
        <v>No</v>
      </c>
      <c r="S109" s="46" t="str">
        <f t="shared" si="31"/>
        <v>Yes</v>
      </c>
      <c r="T109" s="47">
        <f>ROUND(INDEX(Summary!H:H,MATCH(H:H,Summary!A:A,0)),2)</f>
        <v>0</v>
      </c>
      <c r="U109" s="47">
        <f>ROUND(INDEX(Summary!I:I,MATCH(H:H,Summary!A:A,0)),2)</f>
        <v>0.2</v>
      </c>
      <c r="V109" s="81">
        <f t="shared" si="32"/>
        <v>0</v>
      </c>
      <c r="W109" s="81">
        <f t="shared" si="32"/>
        <v>58063.475438534006</v>
      </c>
      <c r="X109" s="45">
        <f t="shared" si="33"/>
        <v>58063.475438534006</v>
      </c>
      <c r="Y109" s="45" t="s">
        <v>2752</v>
      </c>
      <c r="Z109" s="45" t="str">
        <f t="shared" si="34"/>
        <v>No</v>
      </c>
      <c r="AA109" s="45" t="str">
        <f t="shared" si="34"/>
        <v>No</v>
      </c>
      <c r="AB109" s="45" t="str">
        <f t="shared" si="35"/>
        <v>No</v>
      </c>
      <c r="AC109" s="82">
        <f t="shared" si="36"/>
        <v>0</v>
      </c>
      <c r="AD109" s="82">
        <f t="shared" si="36"/>
        <v>0</v>
      </c>
      <c r="AE109" s="45">
        <f t="shared" si="37"/>
        <v>0</v>
      </c>
      <c r="AF109" s="45">
        <f t="shared" si="37"/>
        <v>0</v>
      </c>
      <c r="AG109" s="45">
        <f t="shared" si="38"/>
        <v>0</v>
      </c>
      <c r="AH109" s="47">
        <f>IFERROR(ROUNDDOWN(INDEX('90% of ACR'!K:K,MATCH(H:H,'90% of ACR'!A:A,0))*IF(I109&gt;0,IF(O109&gt;0,$R$4*MAX(O109-V109,0),0),0)/I109,2),0)</f>
        <v>0</v>
      </c>
      <c r="AI109" s="82">
        <f>IFERROR(ROUNDDOWN(INDEX('90% of ACR'!R:R,MATCH(H:H,'90% of ACR'!A:A,0))*IF(J109&gt;0,IF(P109&gt;0,$R$4*MAX(P109-W109,0),0),0)/J109,2),0)</f>
        <v>0</v>
      </c>
      <c r="AJ109" s="45">
        <f t="shared" si="39"/>
        <v>0</v>
      </c>
      <c r="AK109" s="45">
        <f t="shared" si="39"/>
        <v>0</v>
      </c>
      <c r="AL109" s="47">
        <f t="shared" si="40"/>
        <v>0</v>
      </c>
      <c r="AM109" s="47">
        <f t="shared" si="40"/>
        <v>0.2</v>
      </c>
      <c r="AN109" s="83">
        <f>IFERROR(INDEX('Fee Calc'!P:P,MATCH(C109,'Fee Calc'!F:F,0)),0)</f>
        <v>58063.475438534006</v>
      </c>
      <c r="AO109" s="83">
        <f>IFERROR(INDEX('Fee Calc'!Q:Q,MATCH(C109,'Fee Calc'!F:F,0)),0)</f>
        <v>3579.4362712640987</v>
      </c>
      <c r="AP109" s="83">
        <f t="shared" si="41"/>
        <v>61642.911709798107</v>
      </c>
      <c r="AQ109" s="70">
        <f t="shared" si="42"/>
        <v>26323.495873258504</v>
      </c>
      <c r="AR109" s="70">
        <f t="shared" si="43"/>
        <v>13161.747936629252</v>
      </c>
      <c r="AS109" s="70">
        <f t="shared" si="44"/>
        <v>13161.747936629252</v>
      </c>
    </row>
    <row r="110" spans="1:45">
      <c r="A110" s="104" t="s">
        <v>623</v>
      </c>
      <c r="B110" s="124" t="s">
        <v>623</v>
      </c>
      <c r="C110" s="31" t="s">
        <v>624</v>
      </c>
      <c r="D110" s="125" t="s">
        <v>624</v>
      </c>
      <c r="E110" s="119" t="s">
        <v>2420</v>
      </c>
      <c r="F110" s="100" t="s">
        <v>2279</v>
      </c>
      <c r="G110" s="100" t="s">
        <v>1365</v>
      </c>
      <c r="H110" s="43" t="str">
        <f t="shared" si="27"/>
        <v>Urban Tarrant</v>
      </c>
      <c r="I110" s="45">
        <f>INDEX('Fee Calc'!M:M,MATCH(C:C,'Fee Calc'!F:F,0))</f>
        <v>25220269.597470716</v>
      </c>
      <c r="J110" s="45">
        <f>INDEX('Fee Calc'!L:L,MATCH(C:C,'Fee Calc'!F:F,0))</f>
        <v>4901352.9329019003</v>
      </c>
      <c r="K110" s="45">
        <f t="shared" si="28"/>
        <v>30121622.530372616</v>
      </c>
      <c r="L110" s="45">
        <v>8682286.1799999997</v>
      </c>
      <c r="M110" s="45">
        <v>2132136.34</v>
      </c>
      <c r="N110" s="45">
        <f t="shared" si="29"/>
        <v>10814422.52</v>
      </c>
      <c r="O110" s="45">
        <v>35785149.087451957</v>
      </c>
      <c r="P110" s="45">
        <v>5746670.0726589393</v>
      </c>
      <c r="Q110" s="45">
        <f t="shared" si="30"/>
        <v>41531819.160110898</v>
      </c>
      <c r="R110" s="45" t="str">
        <f t="shared" si="31"/>
        <v>Yes</v>
      </c>
      <c r="S110" s="46" t="str">
        <f t="shared" si="31"/>
        <v>Yes</v>
      </c>
      <c r="T110" s="47">
        <f>ROUND(INDEX(Summary!H:H,MATCH(H:H,Summary!A:A,0)),2)</f>
        <v>0.74</v>
      </c>
      <c r="U110" s="47">
        <f>ROUND(INDEX(Summary!I:I,MATCH(H:H,Summary!A:A,0)),2)</f>
        <v>0.49</v>
      </c>
      <c r="V110" s="81">
        <f t="shared" si="32"/>
        <v>18662999.502128329</v>
      </c>
      <c r="W110" s="81">
        <f t="shared" si="32"/>
        <v>2401662.937121931</v>
      </c>
      <c r="X110" s="45">
        <f t="shared" si="33"/>
        <v>21064662.439250261</v>
      </c>
      <c r="Y110" s="45" t="s">
        <v>2752</v>
      </c>
      <c r="Z110" s="45" t="str">
        <f t="shared" si="34"/>
        <v>Yes</v>
      </c>
      <c r="AA110" s="45" t="str">
        <f t="shared" si="34"/>
        <v>Yes</v>
      </c>
      <c r="AB110" s="45" t="str">
        <f t="shared" si="35"/>
        <v>Yes</v>
      </c>
      <c r="AC110" s="82">
        <f t="shared" si="36"/>
        <v>0.47</v>
      </c>
      <c r="AD110" s="82">
        <f t="shared" si="36"/>
        <v>0.48</v>
      </c>
      <c r="AE110" s="45">
        <f t="shared" si="37"/>
        <v>11853526.710811235</v>
      </c>
      <c r="AF110" s="45">
        <f t="shared" si="37"/>
        <v>2352649.4077929119</v>
      </c>
      <c r="AG110" s="45">
        <f t="shared" si="38"/>
        <v>14206176.118604146</v>
      </c>
      <c r="AH110" s="47">
        <f>IFERROR(ROUNDDOWN(INDEX('90% of ACR'!K:K,MATCH(H:H,'90% of ACR'!A:A,0))*IF(I110&gt;0,IF(O110&gt;0,$R$4*MAX(O110-V110,0),0),0)/I110,2),0)</f>
        <v>0.47</v>
      </c>
      <c r="AI110" s="82">
        <f>IFERROR(ROUNDDOWN(INDEX('90% of ACR'!R:R,MATCH(H:H,'90% of ACR'!A:A,0))*IF(J110&gt;0,IF(P110&gt;0,$R$4*MAX(P110-W110,0),0),0)/J110,2),0)</f>
        <v>0.46</v>
      </c>
      <c r="AJ110" s="45">
        <f t="shared" si="39"/>
        <v>11853526.710811235</v>
      </c>
      <c r="AK110" s="45">
        <f t="shared" si="39"/>
        <v>2254622.3491348741</v>
      </c>
      <c r="AL110" s="47">
        <f t="shared" si="40"/>
        <v>1.21</v>
      </c>
      <c r="AM110" s="47">
        <f t="shared" si="40"/>
        <v>0.95</v>
      </c>
      <c r="AN110" s="83">
        <f>IFERROR(INDEX('Fee Calc'!P:P,MATCH(C110,'Fee Calc'!F:F,0)),0)</f>
        <v>35172811.499196365</v>
      </c>
      <c r="AO110" s="83">
        <f>IFERROR(INDEX('Fee Calc'!Q:Q,MATCH(C110,'Fee Calc'!F:F,0)),0)</f>
        <v>2155768.4952044375</v>
      </c>
      <c r="AP110" s="83">
        <f t="shared" si="41"/>
        <v>37328579.994400799</v>
      </c>
      <c r="AQ110" s="70">
        <f t="shared" si="42"/>
        <v>15940498.172168961</v>
      </c>
      <c r="AR110" s="70">
        <f t="shared" si="43"/>
        <v>7970249.0860844804</v>
      </c>
      <c r="AS110" s="70">
        <f t="shared" si="44"/>
        <v>7970249.0860844804</v>
      </c>
    </row>
    <row r="111" spans="1:45">
      <c r="A111" s="104" t="s">
        <v>638</v>
      </c>
      <c r="B111" s="124" t="s">
        <v>638</v>
      </c>
      <c r="C111" s="31" t="s">
        <v>639</v>
      </c>
      <c r="D111" s="125" t="s">
        <v>639</v>
      </c>
      <c r="E111" s="119" t="s">
        <v>2421</v>
      </c>
      <c r="F111" s="100" t="s">
        <v>2279</v>
      </c>
      <c r="G111" s="100" t="s">
        <v>1365</v>
      </c>
      <c r="H111" s="43" t="str">
        <f t="shared" si="27"/>
        <v>Urban Tarrant</v>
      </c>
      <c r="I111" s="45">
        <f>INDEX('Fee Calc'!M:M,MATCH(C:C,'Fee Calc'!F:F,0))</f>
        <v>5520158.0777923623</v>
      </c>
      <c r="J111" s="45">
        <f>INDEX('Fee Calc'!L:L,MATCH(C:C,'Fee Calc'!F:F,0))</f>
        <v>3484756.9211496604</v>
      </c>
      <c r="K111" s="45">
        <f t="shared" si="28"/>
        <v>9004914.9989420231</v>
      </c>
      <c r="L111" s="45">
        <v>6360933.2400000002</v>
      </c>
      <c r="M111" s="45">
        <v>6256572.6100000003</v>
      </c>
      <c r="N111" s="45">
        <f t="shared" si="29"/>
        <v>12617505.850000001</v>
      </c>
      <c r="O111" s="45">
        <v>17874463.420479838</v>
      </c>
      <c r="P111" s="45">
        <v>8095486.3133997889</v>
      </c>
      <c r="Q111" s="45">
        <f t="shared" si="30"/>
        <v>25969949.733879626</v>
      </c>
      <c r="R111" s="45" t="str">
        <f t="shared" si="31"/>
        <v>Yes</v>
      </c>
      <c r="S111" s="46" t="str">
        <f t="shared" si="31"/>
        <v>Yes</v>
      </c>
      <c r="T111" s="47">
        <f>ROUND(INDEX(Summary!H:H,MATCH(H:H,Summary!A:A,0)),2)</f>
        <v>0.74</v>
      </c>
      <c r="U111" s="47">
        <f>ROUND(INDEX(Summary!I:I,MATCH(H:H,Summary!A:A,0)),2)</f>
        <v>0.49</v>
      </c>
      <c r="V111" s="81">
        <f t="shared" si="32"/>
        <v>4084916.9775663479</v>
      </c>
      <c r="W111" s="81">
        <f t="shared" si="32"/>
        <v>1707530.8913633334</v>
      </c>
      <c r="X111" s="45">
        <f t="shared" si="33"/>
        <v>5792447.8689296814</v>
      </c>
      <c r="Y111" s="45" t="s">
        <v>2752</v>
      </c>
      <c r="Z111" s="45" t="str">
        <f t="shared" si="34"/>
        <v>Yes</v>
      </c>
      <c r="AA111" s="45" t="str">
        <f t="shared" si="34"/>
        <v>Yes</v>
      </c>
      <c r="AB111" s="45" t="str">
        <f t="shared" si="35"/>
        <v>Yes</v>
      </c>
      <c r="AC111" s="82">
        <f t="shared" si="36"/>
        <v>1.74</v>
      </c>
      <c r="AD111" s="82">
        <f t="shared" si="36"/>
        <v>1.28</v>
      </c>
      <c r="AE111" s="45">
        <f t="shared" si="37"/>
        <v>9605075.0553587098</v>
      </c>
      <c r="AF111" s="45">
        <f t="shared" si="37"/>
        <v>4460488.8590715658</v>
      </c>
      <c r="AG111" s="45">
        <f t="shared" si="38"/>
        <v>14065563.914430276</v>
      </c>
      <c r="AH111" s="47">
        <f>IFERROR(ROUNDDOWN(INDEX('90% of ACR'!K:K,MATCH(H:H,'90% of ACR'!A:A,0))*IF(I111&gt;0,IF(O111&gt;0,$R$4*MAX(O111-V111,0),0),0)/I111,2),0)</f>
        <v>1.74</v>
      </c>
      <c r="AI111" s="82">
        <f>IFERROR(ROUNDDOWN(INDEX('90% of ACR'!R:R,MATCH(H:H,'90% of ACR'!A:A,0))*IF(J111&gt;0,IF(P111&gt;0,$R$4*MAX(P111-W111,0),0),0)/J111,2),0)</f>
        <v>1.24</v>
      </c>
      <c r="AJ111" s="45">
        <f t="shared" si="39"/>
        <v>9605075.0553587098</v>
      </c>
      <c r="AK111" s="45">
        <f t="shared" si="39"/>
        <v>4321098.5822255788</v>
      </c>
      <c r="AL111" s="47">
        <f t="shared" si="40"/>
        <v>2.48</v>
      </c>
      <c r="AM111" s="47">
        <f t="shared" si="40"/>
        <v>1.73</v>
      </c>
      <c r="AN111" s="83">
        <f>IFERROR(INDEX('Fee Calc'!P:P,MATCH(C111,'Fee Calc'!F:F,0)),0)</f>
        <v>19718621.506513972</v>
      </c>
      <c r="AO111" s="83">
        <f>IFERROR(INDEX('Fee Calc'!Q:Q,MATCH(C111,'Fee Calc'!F:F,0)),0)</f>
        <v>1238768.0034975621</v>
      </c>
      <c r="AP111" s="83">
        <f t="shared" si="41"/>
        <v>20957389.510011535</v>
      </c>
      <c r="AQ111" s="70">
        <f t="shared" si="42"/>
        <v>8949475.957239246</v>
      </c>
      <c r="AR111" s="70">
        <f t="shared" si="43"/>
        <v>4474737.978619623</v>
      </c>
      <c r="AS111" s="70">
        <f t="shared" si="44"/>
        <v>4474737.978619623</v>
      </c>
    </row>
    <row r="112" spans="1:45">
      <c r="A112" s="104" t="s">
        <v>344</v>
      </c>
      <c r="B112" s="124" t="s">
        <v>344</v>
      </c>
      <c r="C112" s="31" t="s">
        <v>345</v>
      </c>
      <c r="D112" s="125" t="s">
        <v>345</v>
      </c>
      <c r="E112" s="119" t="s">
        <v>2605</v>
      </c>
      <c r="F112" s="100" t="s">
        <v>2291</v>
      </c>
      <c r="G112" s="100" t="s">
        <v>310</v>
      </c>
      <c r="H112" s="43" t="str">
        <f t="shared" si="27"/>
        <v>Rural MRSA Northeast</v>
      </c>
      <c r="I112" s="45">
        <f>INDEX('Fee Calc'!M:M,MATCH(C:C,'Fee Calc'!F:F,0))</f>
        <v>68456.110215252731</v>
      </c>
      <c r="J112" s="45">
        <f>INDEX('Fee Calc'!L:L,MATCH(C:C,'Fee Calc'!F:F,0))</f>
        <v>429563.33112454799</v>
      </c>
      <c r="K112" s="45">
        <f t="shared" si="28"/>
        <v>498019.44133980072</v>
      </c>
      <c r="L112" s="45">
        <v>9026.42</v>
      </c>
      <c r="M112" s="45">
        <v>-80969.75</v>
      </c>
      <c r="N112" s="45">
        <f t="shared" si="29"/>
        <v>-71943.33</v>
      </c>
      <c r="O112" s="45">
        <v>-7812.1756962728432</v>
      </c>
      <c r="P112" s="45">
        <v>-25112.574524786643</v>
      </c>
      <c r="Q112" s="45">
        <f t="shared" si="30"/>
        <v>-32924.750221059483</v>
      </c>
      <c r="R112" s="45" t="str">
        <f t="shared" si="31"/>
        <v>No</v>
      </c>
      <c r="S112" s="46" t="str">
        <f t="shared" si="31"/>
        <v>No</v>
      </c>
      <c r="T112" s="47">
        <f>ROUND(INDEX(Summary!H:H,MATCH(H:H,Summary!A:A,0)),2)</f>
        <v>0</v>
      </c>
      <c r="U112" s="47">
        <f>ROUND(INDEX(Summary!I:I,MATCH(H:H,Summary!A:A,0)),2)</f>
        <v>0.3</v>
      </c>
      <c r="V112" s="81">
        <f t="shared" si="32"/>
        <v>0</v>
      </c>
      <c r="W112" s="81">
        <f t="shared" si="32"/>
        <v>128868.9993373644</v>
      </c>
      <c r="X112" s="45">
        <f t="shared" si="33"/>
        <v>128868.9993373644</v>
      </c>
      <c r="Y112" s="45" t="s">
        <v>2752</v>
      </c>
      <c r="Z112" s="45" t="str">
        <f t="shared" si="34"/>
        <v>No</v>
      </c>
      <c r="AA112" s="45" t="str">
        <f t="shared" si="34"/>
        <v>No</v>
      </c>
      <c r="AB112" s="45" t="str">
        <f t="shared" si="35"/>
        <v>No</v>
      </c>
      <c r="AC112" s="82">
        <f t="shared" si="36"/>
        <v>0</v>
      </c>
      <c r="AD112" s="82">
        <f t="shared" si="36"/>
        <v>0</v>
      </c>
      <c r="AE112" s="45">
        <f t="shared" si="37"/>
        <v>0</v>
      </c>
      <c r="AF112" s="45">
        <f t="shared" si="37"/>
        <v>0</v>
      </c>
      <c r="AG112" s="45">
        <f t="shared" si="38"/>
        <v>0</v>
      </c>
      <c r="AH112" s="47">
        <f>IFERROR(ROUNDDOWN(INDEX('90% of ACR'!K:K,MATCH(H:H,'90% of ACR'!A:A,0))*IF(I112&gt;0,IF(O112&gt;0,$R$4*MAX(O112-V112,0),0),0)/I112,2),0)</f>
        <v>0</v>
      </c>
      <c r="AI112" s="82">
        <f>IFERROR(ROUNDDOWN(INDEX('90% of ACR'!R:R,MATCH(H:H,'90% of ACR'!A:A,0))*IF(J112&gt;0,IF(P112&gt;0,$R$4*MAX(P112-W112,0),0),0)/J112,2),0)</f>
        <v>0</v>
      </c>
      <c r="AJ112" s="45">
        <f t="shared" si="39"/>
        <v>0</v>
      </c>
      <c r="AK112" s="45">
        <f t="shared" si="39"/>
        <v>0</v>
      </c>
      <c r="AL112" s="47">
        <f t="shared" si="40"/>
        <v>0</v>
      </c>
      <c r="AM112" s="47">
        <f t="shared" si="40"/>
        <v>0.3</v>
      </c>
      <c r="AN112" s="83">
        <f>IFERROR(INDEX('Fee Calc'!P:P,MATCH(C112,'Fee Calc'!F:F,0)),0)</f>
        <v>128868.9993373644</v>
      </c>
      <c r="AO112" s="83">
        <f>IFERROR(INDEX('Fee Calc'!Q:Q,MATCH(C112,'Fee Calc'!F:F,0)),0)</f>
        <v>7976.366261458963</v>
      </c>
      <c r="AP112" s="83">
        <f t="shared" si="41"/>
        <v>136845.36559882335</v>
      </c>
      <c r="AQ112" s="70">
        <f t="shared" si="42"/>
        <v>58437.350162396731</v>
      </c>
      <c r="AR112" s="70">
        <f t="shared" si="43"/>
        <v>29218.675081198366</v>
      </c>
      <c r="AS112" s="70">
        <f t="shared" si="44"/>
        <v>29218.675081198366</v>
      </c>
    </row>
    <row r="113" spans="1:45">
      <c r="A113" s="104" t="s">
        <v>347</v>
      </c>
      <c r="B113" s="124" t="s">
        <v>347</v>
      </c>
      <c r="C113" s="31" t="s">
        <v>348</v>
      </c>
      <c r="D113" s="125" t="s">
        <v>348</v>
      </c>
      <c r="E113" s="119" t="s">
        <v>2600</v>
      </c>
      <c r="F113" s="100" t="s">
        <v>2291</v>
      </c>
      <c r="G113" s="100" t="s">
        <v>227</v>
      </c>
      <c r="H113" s="43" t="str">
        <f t="shared" si="27"/>
        <v>Rural MRSA West</v>
      </c>
      <c r="I113" s="45">
        <f>INDEX('Fee Calc'!M:M,MATCH(C:C,'Fee Calc'!F:F,0))</f>
        <v>43154.375055351389</v>
      </c>
      <c r="J113" s="45">
        <f>INDEX('Fee Calc'!L:L,MATCH(C:C,'Fee Calc'!F:F,0))</f>
        <v>165472.99249380888</v>
      </c>
      <c r="K113" s="45">
        <f t="shared" si="28"/>
        <v>208627.36754916026</v>
      </c>
      <c r="L113" s="45">
        <v>-188.14</v>
      </c>
      <c r="M113" s="45">
        <v>63303.32</v>
      </c>
      <c r="N113" s="45">
        <f t="shared" si="29"/>
        <v>63115.18</v>
      </c>
      <c r="O113" s="45">
        <v>-1766.9240288615788</v>
      </c>
      <c r="P113" s="45">
        <v>50130.232902267802</v>
      </c>
      <c r="Q113" s="45">
        <f t="shared" si="30"/>
        <v>48363.308873406226</v>
      </c>
      <c r="R113" s="45" t="str">
        <f t="shared" si="31"/>
        <v>No</v>
      </c>
      <c r="S113" s="46" t="str">
        <f t="shared" si="31"/>
        <v>Yes</v>
      </c>
      <c r="T113" s="47">
        <f>ROUND(INDEX(Summary!H:H,MATCH(H:H,Summary!A:A,0)),2)</f>
        <v>0</v>
      </c>
      <c r="U113" s="47">
        <f>ROUND(INDEX(Summary!I:I,MATCH(H:H,Summary!A:A,0)),2)</f>
        <v>0.2</v>
      </c>
      <c r="V113" s="81">
        <f t="shared" si="32"/>
        <v>0</v>
      </c>
      <c r="W113" s="81">
        <f t="shared" si="32"/>
        <v>33094.598498761778</v>
      </c>
      <c r="X113" s="45">
        <f t="shared" si="33"/>
        <v>33094.598498761778</v>
      </c>
      <c r="Y113" s="45" t="s">
        <v>2752</v>
      </c>
      <c r="Z113" s="45" t="str">
        <f t="shared" si="34"/>
        <v>No</v>
      </c>
      <c r="AA113" s="45" t="str">
        <f t="shared" si="34"/>
        <v>Yes</v>
      </c>
      <c r="AB113" s="45" t="str">
        <f t="shared" si="35"/>
        <v>Yes</v>
      </c>
      <c r="AC113" s="82">
        <f t="shared" si="36"/>
        <v>0</v>
      </c>
      <c r="AD113" s="82">
        <f t="shared" si="36"/>
        <v>7.0000000000000007E-2</v>
      </c>
      <c r="AE113" s="45">
        <f t="shared" si="37"/>
        <v>0</v>
      </c>
      <c r="AF113" s="45">
        <f t="shared" si="37"/>
        <v>11583.109474566623</v>
      </c>
      <c r="AG113" s="45">
        <f t="shared" si="38"/>
        <v>11583.109474566623</v>
      </c>
      <c r="AH113" s="47">
        <f>IFERROR(ROUNDDOWN(INDEX('90% of ACR'!K:K,MATCH(H:H,'90% of ACR'!A:A,0))*IF(I113&gt;0,IF(O113&gt;0,$R$4*MAX(O113-V113,0),0),0)/I113,2),0)</f>
        <v>0</v>
      </c>
      <c r="AI113" s="82">
        <f>IFERROR(ROUNDDOWN(INDEX('90% of ACR'!R:R,MATCH(H:H,'90% of ACR'!A:A,0))*IF(J113&gt;0,IF(P113&gt;0,$R$4*MAX(P113-W113,0),0),0)/J113,2),0)</f>
        <v>0.06</v>
      </c>
      <c r="AJ113" s="45">
        <f t="shared" si="39"/>
        <v>0</v>
      </c>
      <c r="AK113" s="45">
        <f t="shared" si="39"/>
        <v>9928.3795496285329</v>
      </c>
      <c r="AL113" s="47">
        <f t="shared" si="40"/>
        <v>0</v>
      </c>
      <c r="AM113" s="47">
        <f t="shared" si="40"/>
        <v>0.26</v>
      </c>
      <c r="AN113" s="83">
        <f>IFERROR(INDEX('Fee Calc'!P:P,MATCH(C113,'Fee Calc'!F:F,0)),0)</f>
        <v>43022.978048390309</v>
      </c>
      <c r="AO113" s="83">
        <f>IFERROR(INDEX('Fee Calc'!Q:Q,MATCH(C113,'Fee Calc'!F:F,0)),0)</f>
        <v>2643.9232906089428</v>
      </c>
      <c r="AP113" s="83">
        <f t="shared" si="41"/>
        <v>45666.901338999254</v>
      </c>
      <c r="AQ113" s="70">
        <f t="shared" si="42"/>
        <v>19501.228212595532</v>
      </c>
      <c r="AR113" s="70">
        <f t="shared" si="43"/>
        <v>9750.6141062977658</v>
      </c>
      <c r="AS113" s="70">
        <f t="shared" si="44"/>
        <v>9750.6141062977658</v>
      </c>
    </row>
    <row r="114" spans="1:45">
      <c r="A114" s="104" t="s">
        <v>350</v>
      </c>
      <c r="B114" s="124" t="s">
        <v>350</v>
      </c>
      <c r="C114" s="31" t="s">
        <v>351</v>
      </c>
      <c r="D114" s="125" t="s">
        <v>351</v>
      </c>
      <c r="E114" s="119" t="s">
        <v>2592</v>
      </c>
      <c r="F114" s="100" t="s">
        <v>2291</v>
      </c>
      <c r="G114" s="100" t="s">
        <v>227</v>
      </c>
      <c r="H114" s="43" t="str">
        <f t="shared" si="27"/>
        <v>Rural MRSA West</v>
      </c>
      <c r="I114" s="45">
        <f>INDEX('Fee Calc'!M:M,MATCH(C:C,'Fee Calc'!F:F,0))</f>
        <v>61629.479782081777</v>
      </c>
      <c r="J114" s="45">
        <f>INDEX('Fee Calc'!L:L,MATCH(C:C,'Fee Calc'!F:F,0))</f>
        <v>305952.71123073174</v>
      </c>
      <c r="K114" s="45">
        <f t="shared" si="28"/>
        <v>367582.19101281354</v>
      </c>
      <c r="L114" s="45">
        <v>-4724.92</v>
      </c>
      <c r="M114" s="45">
        <v>32539.7</v>
      </c>
      <c r="N114" s="45">
        <f t="shared" si="29"/>
        <v>27814.78</v>
      </c>
      <c r="O114" s="45">
        <v>-15305.666789685494</v>
      </c>
      <c r="P114" s="45">
        <v>112604.45436055309</v>
      </c>
      <c r="Q114" s="45">
        <f t="shared" si="30"/>
        <v>97298.7875708676</v>
      </c>
      <c r="R114" s="45" t="str">
        <f t="shared" si="31"/>
        <v>No</v>
      </c>
      <c r="S114" s="46" t="str">
        <f t="shared" si="31"/>
        <v>Yes</v>
      </c>
      <c r="T114" s="47">
        <f>ROUND(INDEX(Summary!H:H,MATCH(H:H,Summary!A:A,0)),2)</f>
        <v>0</v>
      </c>
      <c r="U114" s="47">
        <f>ROUND(INDEX(Summary!I:I,MATCH(H:H,Summary!A:A,0)),2)</f>
        <v>0.2</v>
      </c>
      <c r="V114" s="81">
        <f t="shared" si="32"/>
        <v>0</v>
      </c>
      <c r="W114" s="81">
        <f t="shared" si="32"/>
        <v>61190.542246146353</v>
      </c>
      <c r="X114" s="45">
        <f t="shared" si="33"/>
        <v>61190.542246146353</v>
      </c>
      <c r="Y114" s="45" t="s">
        <v>2752</v>
      </c>
      <c r="Z114" s="45" t="str">
        <f t="shared" si="34"/>
        <v>No</v>
      </c>
      <c r="AA114" s="45" t="str">
        <f t="shared" si="34"/>
        <v>Yes</v>
      </c>
      <c r="AB114" s="45" t="str">
        <f t="shared" si="35"/>
        <v>Yes</v>
      </c>
      <c r="AC114" s="82">
        <f t="shared" si="36"/>
        <v>0</v>
      </c>
      <c r="AD114" s="82">
        <f t="shared" si="36"/>
        <v>0.12</v>
      </c>
      <c r="AE114" s="45">
        <f t="shared" si="37"/>
        <v>0</v>
      </c>
      <c r="AF114" s="45">
        <f t="shared" si="37"/>
        <v>36714.325347687809</v>
      </c>
      <c r="AG114" s="45">
        <f t="shared" si="38"/>
        <v>36714.325347687809</v>
      </c>
      <c r="AH114" s="47">
        <f>IFERROR(ROUNDDOWN(INDEX('90% of ACR'!K:K,MATCH(H:H,'90% of ACR'!A:A,0))*IF(I114&gt;0,IF(O114&gt;0,$R$4*MAX(O114-V114,0),0),0)/I114,2),0)</f>
        <v>0</v>
      </c>
      <c r="AI114" s="82">
        <f>IFERROR(ROUNDDOWN(INDEX('90% of ACR'!R:R,MATCH(H:H,'90% of ACR'!A:A,0))*IF(J114&gt;0,IF(P114&gt;0,$R$4*MAX(P114-W114,0),0),0)/J114,2),0)</f>
        <v>0.1</v>
      </c>
      <c r="AJ114" s="45">
        <f t="shared" si="39"/>
        <v>0</v>
      </c>
      <c r="AK114" s="45">
        <f t="shared" si="39"/>
        <v>30595.271123073177</v>
      </c>
      <c r="AL114" s="47">
        <f t="shared" si="40"/>
        <v>0</v>
      </c>
      <c r="AM114" s="47">
        <f t="shared" si="40"/>
        <v>0.30000000000000004</v>
      </c>
      <c r="AN114" s="83">
        <f>IFERROR(INDEX('Fee Calc'!P:P,MATCH(C114,'Fee Calc'!F:F,0)),0)</f>
        <v>91785.813369219541</v>
      </c>
      <c r="AO114" s="83">
        <f>IFERROR(INDEX('Fee Calc'!Q:Q,MATCH(C114,'Fee Calc'!F:F,0)),0)</f>
        <v>5627.0197413416308</v>
      </c>
      <c r="AP114" s="83">
        <f t="shared" si="41"/>
        <v>97412.833110561172</v>
      </c>
      <c r="AQ114" s="70">
        <f t="shared" si="42"/>
        <v>41598.396948869165</v>
      </c>
      <c r="AR114" s="70">
        <f t="shared" si="43"/>
        <v>20799.198474434583</v>
      </c>
      <c r="AS114" s="70">
        <f t="shared" si="44"/>
        <v>20799.198474434583</v>
      </c>
    </row>
    <row r="115" spans="1:45">
      <c r="A115" s="104" t="s">
        <v>1279</v>
      </c>
      <c r="B115" s="124" t="s">
        <v>1279</v>
      </c>
      <c r="C115" s="31" t="s">
        <v>1280</v>
      </c>
      <c r="D115" s="125" t="s">
        <v>1280</v>
      </c>
      <c r="E115" s="119" t="s">
        <v>2824</v>
      </c>
      <c r="F115" s="100" t="s">
        <v>2279</v>
      </c>
      <c r="G115" s="100" t="s">
        <v>487</v>
      </c>
      <c r="H115" s="43" t="str">
        <f t="shared" si="27"/>
        <v>Urban Bexar</v>
      </c>
      <c r="I115" s="45">
        <f>INDEX('Fee Calc'!M:M,MATCH(C:C,'Fee Calc'!F:F,0))</f>
        <v>3100895.0006698999</v>
      </c>
      <c r="J115" s="45">
        <f>INDEX('Fee Calc'!L:L,MATCH(C:C,'Fee Calc'!F:F,0))</f>
        <v>4145234.8076849263</v>
      </c>
      <c r="K115" s="45">
        <f t="shared" si="28"/>
        <v>7246129.8083548266</v>
      </c>
      <c r="L115" s="45">
        <v>2238893.4900000002</v>
      </c>
      <c r="M115" s="45">
        <v>697141.99</v>
      </c>
      <c r="N115" s="45">
        <f t="shared" si="29"/>
        <v>2936035.4800000004</v>
      </c>
      <c r="O115" s="45">
        <v>2048582.0245981882</v>
      </c>
      <c r="P115" s="45">
        <v>879695.24987090216</v>
      </c>
      <c r="Q115" s="45">
        <f t="shared" si="30"/>
        <v>2928277.2744690906</v>
      </c>
      <c r="R115" s="45" t="str">
        <f t="shared" si="31"/>
        <v>Yes</v>
      </c>
      <c r="S115" s="46" t="str">
        <f t="shared" si="31"/>
        <v>Yes</v>
      </c>
      <c r="T115" s="47">
        <f>ROUND(INDEX(Summary!H:H,MATCH(H:H,Summary!A:A,0)),2)</f>
        <v>0.4</v>
      </c>
      <c r="U115" s="47">
        <f>ROUND(INDEX(Summary!I:I,MATCH(H:H,Summary!A:A,0)),2)</f>
        <v>0.45</v>
      </c>
      <c r="V115" s="81">
        <f t="shared" si="32"/>
        <v>1240358.0002679599</v>
      </c>
      <c r="W115" s="81">
        <f t="shared" si="32"/>
        <v>1865355.6634582169</v>
      </c>
      <c r="X115" s="45">
        <f t="shared" si="33"/>
        <v>3105713.6637261771</v>
      </c>
      <c r="Y115" s="45" t="s">
        <v>2752</v>
      </c>
      <c r="Z115" s="45" t="str">
        <f t="shared" si="34"/>
        <v>Yes</v>
      </c>
      <c r="AA115" s="45" t="str">
        <f t="shared" si="34"/>
        <v>No</v>
      </c>
      <c r="AB115" s="45" t="str">
        <f t="shared" si="35"/>
        <v>Yes</v>
      </c>
      <c r="AC115" s="82">
        <f t="shared" si="36"/>
        <v>0.18</v>
      </c>
      <c r="AD115" s="82">
        <f t="shared" si="36"/>
        <v>0</v>
      </c>
      <c r="AE115" s="45">
        <f t="shared" si="37"/>
        <v>558161.10012058192</v>
      </c>
      <c r="AF115" s="45">
        <f t="shared" si="37"/>
        <v>0</v>
      </c>
      <c r="AG115" s="45">
        <f t="shared" si="38"/>
        <v>558161.10012058192</v>
      </c>
      <c r="AH115" s="47">
        <f>IFERROR(ROUNDDOWN(INDEX('90% of ACR'!K:K,MATCH(H:H,'90% of ACR'!A:A,0))*IF(I115&gt;0,IF(O115&gt;0,$R$4*MAX(O115-V115,0),0),0)/I115,2),0)</f>
        <v>0.16</v>
      </c>
      <c r="AI115" s="82">
        <f>IFERROR(ROUNDDOWN(INDEX('90% of ACR'!R:R,MATCH(H:H,'90% of ACR'!A:A,0))*IF(J115&gt;0,IF(P115&gt;0,$R$4*MAX(P115-W115,0),0),0)/J115,2),0)</f>
        <v>0</v>
      </c>
      <c r="AJ115" s="45">
        <f t="shared" si="39"/>
        <v>496143.20010718401</v>
      </c>
      <c r="AK115" s="45">
        <f t="shared" si="39"/>
        <v>0</v>
      </c>
      <c r="AL115" s="47">
        <f t="shared" si="40"/>
        <v>0.56000000000000005</v>
      </c>
      <c r="AM115" s="47">
        <f t="shared" si="40"/>
        <v>0.45</v>
      </c>
      <c r="AN115" s="83">
        <f>IFERROR(INDEX('Fee Calc'!P:P,MATCH(C115,'Fee Calc'!F:F,0)),0)</f>
        <v>3601856.8638333613</v>
      </c>
      <c r="AO115" s="83">
        <f>IFERROR(INDEX('Fee Calc'!Q:Q,MATCH(C115,'Fee Calc'!F:F,0)),0)</f>
        <v>221361.27731955444</v>
      </c>
      <c r="AP115" s="83">
        <f t="shared" si="41"/>
        <v>3823218.1411529155</v>
      </c>
      <c r="AQ115" s="70">
        <f t="shared" si="42"/>
        <v>1632636.4892528118</v>
      </c>
      <c r="AR115" s="70">
        <f t="shared" si="43"/>
        <v>816318.24462640588</v>
      </c>
      <c r="AS115" s="70">
        <f t="shared" si="44"/>
        <v>816318.24462640588</v>
      </c>
    </row>
    <row r="116" spans="1:45">
      <c r="A116" s="104" t="s">
        <v>865</v>
      </c>
      <c r="B116" s="124" t="s">
        <v>865</v>
      </c>
      <c r="C116" s="31" t="s">
        <v>866</v>
      </c>
      <c r="D116" s="125" t="s">
        <v>866</v>
      </c>
      <c r="E116" s="119" t="s">
        <v>2427</v>
      </c>
      <c r="F116" s="100" t="s">
        <v>2279</v>
      </c>
      <c r="G116" s="100" t="s">
        <v>487</v>
      </c>
      <c r="H116" s="43" t="str">
        <f t="shared" si="27"/>
        <v>Urban Bexar</v>
      </c>
      <c r="I116" s="45">
        <f>INDEX('Fee Calc'!M:M,MATCH(C:C,'Fee Calc'!F:F,0))</f>
        <v>9869042.3661844619</v>
      </c>
      <c r="J116" s="45">
        <f>INDEX('Fee Calc'!L:L,MATCH(C:C,'Fee Calc'!F:F,0))</f>
        <v>2262030.943722676</v>
      </c>
      <c r="K116" s="45">
        <f t="shared" si="28"/>
        <v>12131073.309907138</v>
      </c>
      <c r="L116" s="45">
        <v>2118343.9</v>
      </c>
      <c r="M116" s="45">
        <v>1300731.07</v>
      </c>
      <c r="N116" s="45">
        <f t="shared" si="29"/>
        <v>3419074.9699999997</v>
      </c>
      <c r="O116" s="45">
        <v>14220317.333718028</v>
      </c>
      <c r="P116" s="45">
        <v>1696747.1894613393</v>
      </c>
      <c r="Q116" s="45">
        <f t="shared" si="30"/>
        <v>15917064.523179367</v>
      </c>
      <c r="R116" s="45" t="str">
        <f t="shared" si="31"/>
        <v>Yes</v>
      </c>
      <c r="S116" s="46" t="str">
        <f t="shared" si="31"/>
        <v>Yes</v>
      </c>
      <c r="T116" s="47">
        <f>ROUND(INDEX(Summary!H:H,MATCH(H:H,Summary!A:A,0)),2)</f>
        <v>0.4</v>
      </c>
      <c r="U116" s="47">
        <f>ROUND(INDEX(Summary!I:I,MATCH(H:H,Summary!A:A,0)),2)</f>
        <v>0.45</v>
      </c>
      <c r="V116" s="81">
        <f t="shared" si="32"/>
        <v>3947616.9464737847</v>
      </c>
      <c r="W116" s="81">
        <f t="shared" si="32"/>
        <v>1017913.9246752042</v>
      </c>
      <c r="X116" s="45">
        <f t="shared" si="33"/>
        <v>4965530.8711489886</v>
      </c>
      <c r="Y116" s="45" t="s">
        <v>2752</v>
      </c>
      <c r="Z116" s="45" t="str">
        <f t="shared" si="34"/>
        <v>Yes</v>
      </c>
      <c r="AA116" s="45" t="str">
        <f t="shared" si="34"/>
        <v>Yes</v>
      </c>
      <c r="AB116" s="45" t="str">
        <f t="shared" si="35"/>
        <v>Yes</v>
      </c>
      <c r="AC116" s="82">
        <f t="shared" si="36"/>
        <v>0.73</v>
      </c>
      <c r="AD116" s="82">
        <f t="shared" si="36"/>
        <v>0.21</v>
      </c>
      <c r="AE116" s="45">
        <f t="shared" si="37"/>
        <v>7204400.9273146568</v>
      </c>
      <c r="AF116" s="45">
        <f t="shared" si="37"/>
        <v>475026.49818176194</v>
      </c>
      <c r="AG116" s="45">
        <f t="shared" si="38"/>
        <v>7679427.425496419</v>
      </c>
      <c r="AH116" s="47">
        <f>IFERROR(ROUNDDOWN(INDEX('90% of ACR'!K:K,MATCH(H:H,'90% of ACR'!A:A,0))*IF(I116&gt;0,IF(O116&gt;0,$R$4*MAX(O116-V116,0),0),0)/I116,2),0)</f>
        <v>0.64</v>
      </c>
      <c r="AI116" s="82">
        <f>IFERROR(ROUNDDOWN(INDEX('90% of ACR'!R:R,MATCH(H:H,'90% of ACR'!A:A,0))*IF(J116&gt;0,IF(P116&gt;0,$R$4*MAX(P116-W116,0),0),0)/J116,2),0)</f>
        <v>0.11</v>
      </c>
      <c r="AJ116" s="45">
        <f t="shared" si="39"/>
        <v>6316187.1143580554</v>
      </c>
      <c r="AK116" s="45">
        <f t="shared" si="39"/>
        <v>248823.40380949437</v>
      </c>
      <c r="AL116" s="47">
        <f t="shared" si="40"/>
        <v>1.04</v>
      </c>
      <c r="AM116" s="47">
        <f t="shared" si="40"/>
        <v>0.56000000000000005</v>
      </c>
      <c r="AN116" s="83">
        <f>IFERROR(INDEX('Fee Calc'!P:P,MATCH(C116,'Fee Calc'!F:F,0)),0)</f>
        <v>11530541.38931654</v>
      </c>
      <c r="AO116" s="83">
        <f>IFERROR(INDEX('Fee Calc'!Q:Q,MATCH(C116,'Fee Calc'!F:F,0)),0)</f>
        <v>711944.85093760071</v>
      </c>
      <c r="AP116" s="83">
        <f t="shared" si="41"/>
        <v>12242486.240254141</v>
      </c>
      <c r="AQ116" s="70">
        <f t="shared" si="42"/>
        <v>5227933.3841482056</v>
      </c>
      <c r="AR116" s="70">
        <f t="shared" si="43"/>
        <v>2613966.6920741028</v>
      </c>
      <c r="AS116" s="70">
        <f t="shared" si="44"/>
        <v>2613966.6920741028</v>
      </c>
    </row>
    <row r="117" spans="1:45">
      <c r="A117" s="104" t="s">
        <v>862</v>
      </c>
      <c r="B117" s="124" t="s">
        <v>862</v>
      </c>
      <c r="C117" s="31" t="s">
        <v>863</v>
      </c>
      <c r="D117" s="125" t="s">
        <v>863</v>
      </c>
      <c r="E117" s="119" t="s">
        <v>2426</v>
      </c>
      <c r="F117" s="100" t="s">
        <v>2291</v>
      </c>
      <c r="G117" s="100" t="s">
        <v>487</v>
      </c>
      <c r="H117" s="43" t="str">
        <f t="shared" si="27"/>
        <v>Rural Bexar</v>
      </c>
      <c r="I117" s="45">
        <f>INDEX('Fee Calc'!M:M,MATCH(C:C,'Fee Calc'!F:F,0))</f>
        <v>1965920.8484046527</v>
      </c>
      <c r="J117" s="45">
        <f>INDEX('Fee Calc'!L:L,MATCH(C:C,'Fee Calc'!F:F,0))</f>
        <v>2815710.4570136815</v>
      </c>
      <c r="K117" s="45">
        <f t="shared" si="28"/>
        <v>4781631.305418334</v>
      </c>
      <c r="L117" s="45">
        <v>785083.5</v>
      </c>
      <c r="M117" s="45">
        <v>544639.38</v>
      </c>
      <c r="N117" s="45">
        <f t="shared" si="29"/>
        <v>1329722.8799999999</v>
      </c>
      <c r="O117" s="45">
        <v>1162314.6504745812</v>
      </c>
      <c r="P117" s="45">
        <v>1287958.7567854994</v>
      </c>
      <c r="Q117" s="45">
        <f t="shared" si="30"/>
        <v>2450273.4072600808</v>
      </c>
      <c r="R117" s="45" t="str">
        <f t="shared" si="31"/>
        <v>Yes</v>
      </c>
      <c r="S117" s="46" t="str">
        <f t="shared" si="31"/>
        <v>Yes</v>
      </c>
      <c r="T117" s="47">
        <f>ROUND(INDEX(Summary!H:H,MATCH(H:H,Summary!A:A,0)),2)</f>
        <v>0.43</v>
      </c>
      <c r="U117" s="47">
        <f>ROUND(INDEX(Summary!I:I,MATCH(H:H,Summary!A:A,0)),2)</f>
        <v>0.09</v>
      </c>
      <c r="V117" s="81">
        <f t="shared" si="32"/>
        <v>845345.96481400065</v>
      </c>
      <c r="W117" s="81">
        <f t="shared" si="32"/>
        <v>253413.94113123132</v>
      </c>
      <c r="X117" s="45">
        <f t="shared" si="33"/>
        <v>1098759.9059452319</v>
      </c>
      <c r="Y117" s="45" t="s">
        <v>2752</v>
      </c>
      <c r="Z117" s="45" t="str">
        <f t="shared" si="34"/>
        <v>No</v>
      </c>
      <c r="AA117" s="45" t="str">
        <f t="shared" si="34"/>
        <v>Yes</v>
      </c>
      <c r="AB117" s="45" t="str">
        <f t="shared" si="35"/>
        <v>Yes</v>
      </c>
      <c r="AC117" s="82">
        <f t="shared" si="36"/>
        <v>0.11</v>
      </c>
      <c r="AD117" s="82">
        <f t="shared" si="36"/>
        <v>0.26</v>
      </c>
      <c r="AE117" s="45">
        <f t="shared" si="37"/>
        <v>216251.29332451179</v>
      </c>
      <c r="AF117" s="45">
        <f t="shared" si="37"/>
        <v>732084.71882355725</v>
      </c>
      <c r="AG117" s="45">
        <f t="shared" si="38"/>
        <v>948336.01214806898</v>
      </c>
      <c r="AH117" s="47">
        <f>IFERROR(ROUNDDOWN(INDEX('90% of ACR'!K:K,MATCH(H:H,'90% of ACR'!A:A,0))*IF(I117&gt;0,IF(O117&gt;0,$R$4*MAX(O117-V117,0),0),0)/I117,2),0)</f>
        <v>0</v>
      </c>
      <c r="AI117" s="82">
        <f>IFERROR(ROUNDDOWN(INDEX('90% of ACR'!R:R,MATCH(H:H,'90% of ACR'!A:A,0))*IF(J117&gt;0,IF(P117&gt;0,$R$4*MAX(P117-W117,0),0),0)/J117,2),0)</f>
        <v>0.25</v>
      </c>
      <c r="AJ117" s="45">
        <f t="shared" si="39"/>
        <v>0</v>
      </c>
      <c r="AK117" s="45">
        <f t="shared" si="39"/>
        <v>703927.61425342038</v>
      </c>
      <c r="AL117" s="47">
        <f t="shared" si="40"/>
        <v>0.43</v>
      </c>
      <c r="AM117" s="47">
        <f t="shared" si="40"/>
        <v>0.33999999999999997</v>
      </c>
      <c r="AN117" s="83">
        <f>IFERROR(INDEX('Fee Calc'!P:P,MATCH(C117,'Fee Calc'!F:F,0)),0)</f>
        <v>1802687.5201986523</v>
      </c>
      <c r="AO117" s="83">
        <f>IFERROR(INDEX('Fee Calc'!Q:Q,MATCH(C117,'Fee Calc'!F:F,0)),0)</f>
        <v>110958.21276063134</v>
      </c>
      <c r="AP117" s="83">
        <f t="shared" si="41"/>
        <v>1913645.7329592835</v>
      </c>
      <c r="AQ117" s="70">
        <f t="shared" si="42"/>
        <v>817187.9646370688</v>
      </c>
      <c r="AR117" s="70">
        <f t="shared" si="43"/>
        <v>408593.9823185344</v>
      </c>
      <c r="AS117" s="70">
        <f t="shared" si="44"/>
        <v>408593.9823185344</v>
      </c>
    </row>
    <row r="118" spans="1:45">
      <c r="A118" s="104" t="s">
        <v>868</v>
      </c>
      <c r="B118" s="124" t="s">
        <v>868</v>
      </c>
      <c r="C118" s="31" t="s">
        <v>869</v>
      </c>
      <c r="D118" s="125" t="s">
        <v>869</v>
      </c>
      <c r="E118" s="119" t="s">
        <v>2432</v>
      </c>
      <c r="F118" s="100" t="s">
        <v>2279</v>
      </c>
      <c r="G118" s="100" t="s">
        <v>487</v>
      </c>
      <c r="H118" s="43" t="str">
        <f t="shared" si="27"/>
        <v>Urban Bexar</v>
      </c>
      <c r="I118" s="45">
        <f>INDEX('Fee Calc'!M:M,MATCH(C:C,'Fee Calc'!F:F,0))</f>
        <v>99256039.648814708</v>
      </c>
      <c r="J118" s="45">
        <f>INDEX('Fee Calc'!L:L,MATCH(C:C,'Fee Calc'!F:F,0))</f>
        <v>25142656.523753174</v>
      </c>
      <c r="K118" s="45">
        <f t="shared" si="28"/>
        <v>124398696.17256787</v>
      </c>
      <c r="L118" s="45">
        <v>28054007.48</v>
      </c>
      <c r="M118" s="45">
        <v>14904844.77</v>
      </c>
      <c r="N118" s="45">
        <f t="shared" si="29"/>
        <v>42958852.25</v>
      </c>
      <c r="O118" s="45">
        <v>143018624.43773413</v>
      </c>
      <c r="P118" s="45">
        <v>21299978.843232013</v>
      </c>
      <c r="Q118" s="45">
        <f t="shared" si="30"/>
        <v>164318603.28096613</v>
      </c>
      <c r="R118" s="45" t="str">
        <f t="shared" si="31"/>
        <v>Yes</v>
      </c>
      <c r="S118" s="46" t="str">
        <f t="shared" si="31"/>
        <v>Yes</v>
      </c>
      <c r="T118" s="47">
        <f>ROUND(INDEX(Summary!H:H,MATCH(H:H,Summary!A:A,0)),2)</f>
        <v>0.4</v>
      </c>
      <c r="U118" s="47">
        <f>ROUND(INDEX(Summary!I:I,MATCH(H:H,Summary!A:A,0)),2)</f>
        <v>0.45</v>
      </c>
      <c r="V118" s="81">
        <f t="shared" si="32"/>
        <v>39702415.859525882</v>
      </c>
      <c r="W118" s="81">
        <f t="shared" si="32"/>
        <v>11314195.435688928</v>
      </c>
      <c r="X118" s="45">
        <f t="shared" si="33"/>
        <v>51016611.295214809</v>
      </c>
      <c r="Y118" s="45" t="s">
        <v>2752</v>
      </c>
      <c r="Z118" s="45" t="str">
        <f t="shared" si="34"/>
        <v>Yes</v>
      </c>
      <c r="AA118" s="45" t="str">
        <f t="shared" si="34"/>
        <v>Yes</v>
      </c>
      <c r="AB118" s="45" t="str">
        <f t="shared" si="35"/>
        <v>Yes</v>
      </c>
      <c r="AC118" s="82">
        <f t="shared" si="36"/>
        <v>0.73</v>
      </c>
      <c r="AD118" s="82">
        <f t="shared" si="36"/>
        <v>0.28000000000000003</v>
      </c>
      <c r="AE118" s="45">
        <f t="shared" si="37"/>
        <v>72456908.943634734</v>
      </c>
      <c r="AF118" s="45">
        <f t="shared" si="37"/>
        <v>7039943.8266508896</v>
      </c>
      <c r="AG118" s="45">
        <f t="shared" si="38"/>
        <v>79496852.770285621</v>
      </c>
      <c r="AH118" s="47">
        <f>IFERROR(ROUNDDOWN(INDEX('90% of ACR'!K:K,MATCH(H:H,'90% of ACR'!A:A,0))*IF(I118&gt;0,IF(O118&gt;0,$R$4*MAX(O118-V118,0),0),0)/I118,2),0)</f>
        <v>0.64</v>
      </c>
      <c r="AI118" s="82">
        <f>IFERROR(ROUNDDOWN(INDEX('90% of ACR'!R:R,MATCH(H:H,'90% of ACR'!A:A,0))*IF(J118&gt;0,IF(P118&gt;0,$R$4*MAX(P118-W118,0),0),0)/J118,2),0)</f>
        <v>0.15</v>
      </c>
      <c r="AJ118" s="45">
        <f t="shared" si="39"/>
        <v>63523865.375241414</v>
      </c>
      <c r="AK118" s="45">
        <f t="shared" si="39"/>
        <v>3771398.4785629758</v>
      </c>
      <c r="AL118" s="47">
        <f t="shared" si="40"/>
        <v>1.04</v>
      </c>
      <c r="AM118" s="47">
        <f t="shared" si="40"/>
        <v>0.6</v>
      </c>
      <c r="AN118" s="83">
        <f>IFERROR(INDEX('Fee Calc'!P:P,MATCH(C118,'Fee Calc'!F:F,0)),0)</f>
        <v>118311875.14901921</v>
      </c>
      <c r="AO118" s="83">
        <f>IFERROR(INDEX('Fee Calc'!Q:Q,MATCH(C118,'Fee Calc'!F:F,0)),0)</f>
        <v>7298458.8595694266</v>
      </c>
      <c r="AP118" s="83">
        <f t="shared" si="41"/>
        <v>125610334.00858864</v>
      </c>
      <c r="AQ118" s="70">
        <f t="shared" si="42"/>
        <v>53639632.152355626</v>
      </c>
      <c r="AR118" s="70">
        <f t="shared" si="43"/>
        <v>26819816.076177813</v>
      </c>
      <c r="AS118" s="70">
        <f t="shared" si="44"/>
        <v>26819816.076177813</v>
      </c>
    </row>
    <row r="119" spans="1:45" ht="25.5">
      <c r="A119" s="104" t="s">
        <v>1247</v>
      </c>
      <c r="B119" s="124" t="s">
        <v>1247</v>
      </c>
      <c r="C119" s="31" t="s">
        <v>1248</v>
      </c>
      <c r="D119" s="125" t="s">
        <v>1248</v>
      </c>
      <c r="E119" s="119" t="s">
        <v>2825</v>
      </c>
      <c r="F119" s="100" t="s">
        <v>2529</v>
      </c>
      <c r="G119" s="100" t="s">
        <v>223</v>
      </c>
      <c r="H119" s="43" t="str">
        <f t="shared" si="27"/>
        <v>Non-state-owned IMD Dallas</v>
      </c>
      <c r="I119" s="45">
        <f>INDEX('Fee Calc'!M:M,MATCH(C:C,'Fee Calc'!F:F,0))</f>
        <v>122744.41304202302</v>
      </c>
      <c r="J119" s="45">
        <f>INDEX('Fee Calc'!L:L,MATCH(C:C,'Fee Calc'!F:F,0))</f>
        <v>0</v>
      </c>
      <c r="K119" s="45">
        <f t="shared" si="28"/>
        <v>122744.41304202302</v>
      </c>
      <c r="L119" s="45">
        <v>44115.839999999997</v>
      </c>
      <c r="M119" s="45">
        <v>0</v>
      </c>
      <c r="N119" s="45">
        <f t="shared" si="29"/>
        <v>44115.839999999997</v>
      </c>
      <c r="O119" s="45">
        <v>39409.731048252914</v>
      </c>
      <c r="P119" s="45">
        <v>0</v>
      </c>
      <c r="Q119" s="45">
        <f t="shared" si="30"/>
        <v>39409.731048252914</v>
      </c>
      <c r="R119" s="45" t="str">
        <f t="shared" si="31"/>
        <v>Yes</v>
      </c>
      <c r="S119" s="46" t="str">
        <f t="shared" si="31"/>
        <v>No</v>
      </c>
      <c r="T119" s="47">
        <f>ROUND(INDEX(Summary!H:H,MATCH(H:H,Summary!A:A,0)),2)</f>
        <v>0.26</v>
      </c>
      <c r="U119" s="47">
        <f>ROUND(INDEX(Summary!I:I,MATCH(H:H,Summary!A:A,0)),2)</f>
        <v>0</v>
      </c>
      <c r="V119" s="81">
        <f t="shared" si="32"/>
        <v>31913.547390925985</v>
      </c>
      <c r="W119" s="81">
        <f t="shared" si="32"/>
        <v>0</v>
      </c>
      <c r="X119" s="45">
        <f t="shared" si="33"/>
        <v>31913.547390925985</v>
      </c>
      <c r="Y119" s="45" t="s">
        <v>2752</v>
      </c>
      <c r="Z119" s="45" t="str">
        <f t="shared" si="34"/>
        <v>No</v>
      </c>
      <c r="AA119" s="45" t="str">
        <f t="shared" si="34"/>
        <v>No</v>
      </c>
      <c r="AB119" s="45" t="str">
        <f t="shared" si="35"/>
        <v>Yes</v>
      </c>
      <c r="AC119" s="82">
        <f t="shared" si="36"/>
        <v>0.04</v>
      </c>
      <c r="AD119" s="82">
        <f t="shared" si="36"/>
        <v>0</v>
      </c>
      <c r="AE119" s="45">
        <f t="shared" si="37"/>
        <v>4909.7765216809212</v>
      </c>
      <c r="AF119" s="45">
        <f t="shared" si="37"/>
        <v>0</v>
      </c>
      <c r="AG119" s="45">
        <f t="shared" si="38"/>
        <v>4909.7765216809212</v>
      </c>
      <c r="AH119" s="47">
        <f>IFERROR(ROUNDDOWN(INDEX('90% of ACR'!K:K,MATCH(H:H,'90% of ACR'!A:A,0))*IF(I119&gt;0,IF(O119&gt;0,$R$4*MAX(O119-V119,0),0),0)/I119,2),0)</f>
        <v>0</v>
      </c>
      <c r="AI119" s="82">
        <f>IFERROR(ROUNDDOWN(INDEX('90% of ACR'!R:R,MATCH(H:H,'90% of ACR'!A:A,0))*IF(J119&gt;0,IF(P119&gt;0,$R$4*MAX(P119-W119,0),0),0)/J119,2),0)</f>
        <v>0</v>
      </c>
      <c r="AJ119" s="45">
        <f t="shared" si="39"/>
        <v>0</v>
      </c>
      <c r="AK119" s="45">
        <f t="shared" si="39"/>
        <v>0</v>
      </c>
      <c r="AL119" s="47">
        <f t="shared" si="40"/>
        <v>0.26</v>
      </c>
      <c r="AM119" s="47">
        <f t="shared" si="40"/>
        <v>0</v>
      </c>
      <c r="AN119" s="83">
        <f>IFERROR(INDEX('Fee Calc'!P:P,MATCH(C119,'Fee Calc'!F:F,0)),0)</f>
        <v>31913.547390925985</v>
      </c>
      <c r="AO119" s="83">
        <f>IFERROR(INDEX('Fee Calc'!Q:Q,MATCH(C119,'Fee Calc'!F:F,0)),0)</f>
        <v>1946.9803448045031</v>
      </c>
      <c r="AP119" s="83">
        <f t="shared" si="41"/>
        <v>33860.527735730488</v>
      </c>
      <c r="AQ119" s="70">
        <f t="shared" si="42"/>
        <v>14459.528880044461</v>
      </c>
      <c r="AR119" s="70">
        <f t="shared" si="43"/>
        <v>7229.7644400222307</v>
      </c>
      <c r="AS119" s="70">
        <f t="shared" si="44"/>
        <v>7229.7644400222307</v>
      </c>
    </row>
    <row r="120" spans="1:45" ht="25.5">
      <c r="A120" s="104" t="s">
        <v>1300</v>
      </c>
      <c r="B120" s="124" t="s">
        <v>1300</v>
      </c>
      <c r="C120" s="31" t="s">
        <v>1301</v>
      </c>
      <c r="D120" s="125" t="s">
        <v>1301</v>
      </c>
      <c r="E120" s="119" t="s">
        <v>2826</v>
      </c>
      <c r="F120" s="100" t="s">
        <v>2529</v>
      </c>
      <c r="G120" s="100" t="s">
        <v>227</v>
      </c>
      <c r="H120" s="43" t="str">
        <f t="shared" si="27"/>
        <v>Non-state-owned IMD MRSA West</v>
      </c>
      <c r="I120" s="45">
        <f>INDEX('Fee Calc'!M:M,MATCH(C:C,'Fee Calc'!F:F,0))</f>
        <v>1831352.9086453032</v>
      </c>
      <c r="J120" s="45">
        <f>INDEX('Fee Calc'!L:L,MATCH(C:C,'Fee Calc'!F:F,0))</f>
        <v>0</v>
      </c>
      <c r="K120" s="45">
        <f t="shared" si="28"/>
        <v>1831352.9086453032</v>
      </c>
      <c r="L120" s="45">
        <v>212780.56</v>
      </c>
      <c r="M120" s="45">
        <v>0</v>
      </c>
      <c r="N120" s="45">
        <f t="shared" si="29"/>
        <v>212780.56</v>
      </c>
      <c r="O120" s="45">
        <v>259562.33472250949</v>
      </c>
      <c r="P120" s="45">
        <v>0</v>
      </c>
      <c r="Q120" s="45">
        <f t="shared" si="30"/>
        <v>259562.33472250949</v>
      </c>
      <c r="R120" s="45" t="str">
        <f t="shared" si="31"/>
        <v>Yes</v>
      </c>
      <c r="S120" s="46" t="str">
        <f t="shared" si="31"/>
        <v>No</v>
      </c>
      <c r="T120" s="47">
        <f>ROUND(INDEX(Summary!H:H,MATCH(H:H,Summary!A:A,0)),2)</f>
        <v>0.17</v>
      </c>
      <c r="U120" s="47">
        <f>ROUND(INDEX(Summary!I:I,MATCH(H:H,Summary!A:A,0)),2)</f>
        <v>0</v>
      </c>
      <c r="V120" s="81">
        <f t="shared" si="32"/>
        <v>311329.99446970155</v>
      </c>
      <c r="W120" s="81">
        <f t="shared" si="32"/>
        <v>0</v>
      </c>
      <c r="X120" s="45">
        <f t="shared" si="33"/>
        <v>311329.99446970155</v>
      </c>
      <c r="Y120" s="45" t="s">
        <v>2752</v>
      </c>
      <c r="Z120" s="45" t="str">
        <f t="shared" si="34"/>
        <v>No</v>
      </c>
      <c r="AA120" s="45" t="str">
        <f t="shared" si="34"/>
        <v>No</v>
      </c>
      <c r="AB120" s="45" t="str">
        <f t="shared" si="35"/>
        <v>No</v>
      </c>
      <c r="AC120" s="82">
        <f t="shared" si="36"/>
        <v>0</v>
      </c>
      <c r="AD120" s="82">
        <f t="shared" si="36"/>
        <v>0</v>
      </c>
      <c r="AE120" s="45">
        <f t="shared" si="37"/>
        <v>0</v>
      </c>
      <c r="AF120" s="45">
        <f t="shared" si="37"/>
        <v>0</v>
      </c>
      <c r="AG120" s="45">
        <f t="shared" si="38"/>
        <v>0</v>
      </c>
      <c r="AH120" s="47">
        <f>IFERROR(ROUNDDOWN(INDEX('90% of ACR'!K:K,MATCH(H:H,'90% of ACR'!A:A,0))*IF(I120&gt;0,IF(O120&gt;0,$R$4*MAX(O120-V120,0),0),0)/I120,2),0)</f>
        <v>0</v>
      </c>
      <c r="AI120" s="82">
        <f>IFERROR(ROUNDDOWN(INDEX('90% of ACR'!R:R,MATCH(H:H,'90% of ACR'!A:A,0))*IF(J120&gt;0,IF(P120&gt;0,$R$4*MAX(P120-W120,0),0),0)/J120,2),0)</f>
        <v>0</v>
      </c>
      <c r="AJ120" s="45">
        <f t="shared" si="39"/>
        <v>0</v>
      </c>
      <c r="AK120" s="45">
        <f t="shared" si="39"/>
        <v>0</v>
      </c>
      <c r="AL120" s="47">
        <f t="shared" si="40"/>
        <v>0.17</v>
      </c>
      <c r="AM120" s="47">
        <f t="shared" si="40"/>
        <v>0</v>
      </c>
      <c r="AN120" s="83">
        <f>IFERROR(INDEX('Fee Calc'!P:P,MATCH(C120,'Fee Calc'!F:F,0)),0)</f>
        <v>311329.99446970155</v>
      </c>
      <c r="AO120" s="83">
        <f>IFERROR(INDEX('Fee Calc'!Q:Q,MATCH(C120,'Fee Calc'!F:F,0)),0)</f>
        <v>18993.607089663492</v>
      </c>
      <c r="AP120" s="83">
        <f t="shared" si="41"/>
        <v>330323.60155936505</v>
      </c>
      <c r="AQ120" s="70">
        <f t="shared" si="42"/>
        <v>141058.74822109877</v>
      </c>
      <c r="AR120" s="70">
        <f t="shared" si="43"/>
        <v>70529.374110549383</v>
      </c>
      <c r="AS120" s="70">
        <f t="shared" si="44"/>
        <v>70529.374110549383</v>
      </c>
    </row>
    <row r="121" spans="1:45" ht="25.5">
      <c r="A121" s="104" t="s">
        <v>1262</v>
      </c>
      <c r="B121" s="124" t="s">
        <v>1262</v>
      </c>
      <c r="C121" s="31" t="s">
        <v>1263</v>
      </c>
      <c r="D121" s="125" t="s">
        <v>1263</v>
      </c>
      <c r="E121" s="119" t="s">
        <v>2568</v>
      </c>
      <c r="F121" s="100" t="s">
        <v>2529</v>
      </c>
      <c r="G121" s="100" t="s">
        <v>1202</v>
      </c>
      <c r="H121" s="43" t="str">
        <f t="shared" si="27"/>
        <v>Non-state-owned IMD Travis</v>
      </c>
      <c r="I121" s="45">
        <f>INDEX('Fee Calc'!M:M,MATCH(C:C,'Fee Calc'!F:F,0))</f>
        <v>54696.249389048069</v>
      </c>
      <c r="J121" s="45">
        <f>INDEX('Fee Calc'!L:L,MATCH(C:C,'Fee Calc'!F:F,0))</f>
        <v>0</v>
      </c>
      <c r="K121" s="45">
        <f t="shared" si="28"/>
        <v>54696.249389048069</v>
      </c>
      <c r="L121" s="45">
        <v>46946.25</v>
      </c>
      <c r="M121" s="45">
        <v>0</v>
      </c>
      <c r="N121" s="45">
        <f t="shared" si="29"/>
        <v>46946.25</v>
      </c>
      <c r="O121" s="45">
        <v>49587.761195323488</v>
      </c>
      <c r="P121" s="45">
        <v>0</v>
      </c>
      <c r="Q121" s="45">
        <f t="shared" si="30"/>
        <v>49587.761195323488</v>
      </c>
      <c r="R121" s="45" t="str">
        <f t="shared" si="31"/>
        <v>Yes</v>
      </c>
      <c r="S121" s="46" t="str">
        <f t="shared" si="31"/>
        <v>No</v>
      </c>
      <c r="T121" s="47">
        <f>ROUND(INDEX(Summary!H:H,MATCH(H:H,Summary!A:A,0)),2)</f>
        <v>0.28000000000000003</v>
      </c>
      <c r="U121" s="47">
        <f>ROUND(INDEX(Summary!I:I,MATCH(H:H,Summary!A:A,0)),2)</f>
        <v>0</v>
      </c>
      <c r="V121" s="81">
        <f t="shared" si="32"/>
        <v>15314.949828933461</v>
      </c>
      <c r="W121" s="81">
        <f t="shared" si="32"/>
        <v>0</v>
      </c>
      <c r="X121" s="45">
        <f t="shared" si="33"/>
        <v>15314.949828933461</v>
      </c>
      <c r="Y121" s="45" t="s">
        <v>2752</v>
      </c>
      <c r="Z121" s="45" t="str">
        <f t="shared" si="34"/>
        <v>No</v>
      </c>
      <c r="AA121" s="45" t="str">
        <f t="shared" si="34"/>
        <v>No</v>
      </c>
      <c r="AB121" s="45" t="str">
        <f t="shared" si="35"/>
        <v>Yes</v>
      </c>
      <c r="AC121" s="82">
        <f t="shared" si="36"/>
        <v>0.44</v>
      </c>
      <c r="AD121" s="82">
        <f t="shared" si="36"/>
        <v>0</v>
      </c>
      <c r="AE121" s="45">
        <f t="shared" si="37"/>
        <v>24066.349731181152</v>
      </c>
      <c r="AF121" s="45">
        <f t="shared" si="37"/>
        <v>0</v>
      </c>
      <c r="AG121" s="45">
        <f t="shared" si="38"/>
        <v>24066.349731181152</v>
      </c>
      <c r="AH121" s="47">
        <f>IFERROR(ROUNDDOWN(INDEX('90% of ACR'!K:K,MATCH(H:H,'90% of ACR'!A:A,0))*IF(I121&gt;0,IF(O121&gt;0,$R$4*MAX(O121-V121,0),0),0)/I121,2),0)</f>
        <v>0</v>
      </c>
      <c r="AI121" s="82">
        <f>IFERROR(ROUNDDOWN(INDEX('90% of ACR'!R:R,MATCH(H:H,'90% of ACR'!A:A,0))*IF(J121&gt;0,IF(P121&gt;0,$R$4*MAX(P121-W121,0),0),0)/J121,2),0)</f>
        <v>0</v>
      </c>
      <c r="AJ121" s="45">
        <f t="shared" si="39"/>
        <v>0</v>
      </c>
      <c r="AK121" s="45">
        <f t="shared" si="39"/>
        <v>0</v>
      </c>
      <c r="AL121" s="47">
        <f t="shared" si="40"/>
        <v>0.28000000000000003</v>
      </c>
      <c r="AM121" s="47">
        <f t="shared" si="40"/>
        <v>0</v>
      </c>
      <c r="AN121" s="83">
        <f>IFERROR(INDEX('Fee Calc'!P:P,MATCH(C121,'Fee Calc'!F:F,0)),0)</f>
        <v>15314.949828933461</v>
      </c>
      <c r="AO121" s="83">
        <f>IFERROR(INDEX('Fee Calc'!Q:Q,MATCH(C121,'Fee Calc'!F:F,0)),0)</f>
        <v>934.33380919222702</v>
      </c>
      <c r="AP121" s="83">
        <f t="shared" si="41"/>
        <v>16249.283638125688</v>
      </c>
      <c r="AQ121" s="70">
        <f t="shared" si="42"/>
        <v>6938.9640905560882</v>
      </c>
      <c r="AR121" s="70">
        <f t="shared" si="43"/>
        <v>3469.4820452780441</v>
      </c>
      <c r="AS121" s="70">
        <f t="shared" si="44"/>
        <v>3469.4820452780441</v>
      </c>
    </row>
    <row r="122" spans="1:45" ht="25.5">
      <c r="A122" s="104" t="s">
        <v>1231</v>
      </c>
      <c r="B122" s="124" t="s">
        <v>1231</v>
      </c>
      <c r="C122" s="31" t="s">
        <v>1232</v>
      </c>
      <c r="D122" s="125" t="s">
        <v>1232</v>
      </c>
      <c r="E122" s="119" t="s">
        <v>2827</v>
      </c>
      <c r="F122" s="100" t="s">
        <v>2529</v>
      </c>
      <c r="G122" s="100" t="s">
        <v>300</v>
      </c>
      <c r="H122" s="43" t="str">
        <f t="shared" si="27"/>
        <v>Non-state-owned IMD Harris</v>
      </c>
      <c r="I122" s="45">
        <f>INDEX('Fee Calc'!M:M,MATCH(C:C,'Fee Calc'!F:F,0))</f>
        <v>4620516.3195105875</v>
      </c>
      <c r="J122" s="45">
        <f>INDEX('Fee Calc'!L:L,MATCH(C:C,'Fee Calc'!F:F,0))</f>
        <v>0</v>
      </c>
      <c r="K122" s="45">
        <f t="shared" si="28"/>
        <v>4620516.3195105875</v>
      </c>
      <c r="L122" s="45">
        <v>796374.15</v>
      </c>
      <c r="M122" s="45">
        <v>0</v>
      </c>
      <c r="N122" s="45">
        <f t="shared" si="29"/>
        <v>796374.15</v>
      </c>
      <c r="O122" s="45">
        <v>748061.38623180147</v>
      </c>
      <c r="P122" s="45">
        <v>0</v>
      </c>
      <c r="Q122" s="45">
        <f t="shared" si="30"/>
        <v>748061.38623180147</v>
      </c>
      <c r="R122" s="45" t="str">
        <f t="shared" si="31"/>
        <v>Yes</v>
      </c>
      <c r="S122" s="46" t="str">
        <f t="shared" si="31"/>
        <v>No</v>
      </c>
      <c r="T122" s="47">
        <f>ROUND(INDEX(Summary!H:H,MATCH(H:H,Summary!A:A,0)),2)</f>
        <v>0.24</v>
      </c>
      <c r="U122" s="47">
        <f>ROUND(INDEX(Summary!I:I,MATCH(H:H,Summary!A:A,0)),2)</f>
        <v>0</v>
      </c>
      <c r="V122" s="81">
        <f t="shared" si="32"/>
        <v>1108923.9166825409</v>
      </c>
      <c r="W122" s="81">
        <f t="shared" si="32"/>
        <v>0</v>
      </c>
      <c r="X122" s="45">
        <f t="shared" si="33"/>
        <v>1108923.9166825409</v>
      </c>
      <c r="Y122" s="45" t="s">
        <v>2752</v>
      </c>
      <c r="Z122" s="45" t="str">
        <f t="shared" si="34"/>
        <v>No</v>
      </c>
      <c r="AA122" s="45" t="str">
        <f t="shared" si="34"/>
        <v>No</v>
      </c>
      <c r="AB122" s="45" t="str">
        <f t="shared" si="35"/>
        <v>No</v>
      </c>
      <c r="AC122" s="82">
        <f t="shared" si="36"/>
        <v>0</v>
      </c>
      <c r="AD122" s="82">
        <f t="shared" si="36"/>
        <v>0</v>
      </c>
      <c r="AE122" s="45">
        <f t="shared" si="37"/>
        <v>0</v>
      </c>
      <c r="AF122" s="45">
        <f t="shared" si="37"/>
        <v>0</v>
      </c>
      <c r="AG122" s="45">
        <f t="shared" si="38"/>
        <v>0</v>
      </c>
      <c r="AH122" s="47">
        <f>IFERROR(ROUNDDOWN(INDEX('90% of ACR'!K:K,MATCH(H:H,'90% of ACR'!A:A,0))*IF(I122&gt;0,IF(O122&gt;0,$R$4*MAX(O122-V122,0),0),0)/I122,2),0)</f>
        <v>0</v>
      </c>
      <c r="AI122" s="82">
        <f>IFERROR(ROUNDDOWN(INDEX('90% of ACR'!R:R,MATCH(H:H,'90% of ACR'!A:A,0))*IF(J122&gt;0,IF(P122&gt;0,$R$4*MAX(P122-W122,0),0),0)/J122,2),0)</f>
        <v>0</v>
      </c>
      <c r="AJ122" s="45">
        <f t="shared" si="39"/>
        <v>0</v>
      </c>
      <c r="AK122" s="45">
        <f t="shared" si="39"/>
        <v>0</v>
      </c>
      <c r="AL122" s="47">
        <f t="shared" si="40"/>
        <v>0.24</v>
      </c>
      <c r="AM122" s="47">
        <f t="shared" si="40"/>
        <v>0</v>
      </c>
      <c r="AN122" s="83">
        <f>IFERROR(INDEX('Fee Calc'!P:P,MATCH(C122,'Fee Calc'!F:F,0)),0)</f>
        <v>1108923.9166825409</v>
      </c>
      <c r="AO122" s="83">
        <f>IFERROR(INDEX('Fee Calc'!Q:Q,MATCH(C122,'Fee Calc'!F:F,0)),0)</f>
        <v>67653.183245884458</v>
      </c>
      <c r="AP122" s="83">
        <f t="shared" si="41"/>
        <v>1176577.0999284254</v>
      </c>
      <c r="AQ122" s="70">
        <f t="shared" si="42"/>
        <v>502436.07213663537</v>
      </c>
      <c r="AR122" s="70">
        <f t="shared" si="43"/>
        <v>251218.03606831768</v>
      </c>
      <c r="AS122" s="70">
        <f t="shared" si="44"/>
        <v>251218.03606831768</v>
      </c>
    </row>
    <row r="123" spans="1:45" ht="25.5">
      <c r="A123" s="104" t="s">
        <v>1256</v>
      </c>
      <c r="B123" s="124" t="s">
        <v>1256</v>
      </c>
      <c r="C123" s="31" t="s">
        <v>1257</v>
      </c>
      <c r="D123" s="125" t="s">
        <v>1257</v>
      </c>
      <c r="E123" s="119" t="s">
        <v>2571</v>
      </c>
      <c r="F123" s="100" t="s">
        <v>2529</v>
      </c>
      <c r="G123" s="100" t="s">
        <v>223</v>
      </c>
      <c r="H123" s="43" t="str">
        <f t="shared" si="27"/>
        <v>Non-state-owned IMD Dallas</v>
      </c>
      <c r="I123" s="45">
        <f>INDEX('Fee Calc'!M:M,MATCH(C:C,'Fee Calc'!F:F,0))</f>
        <v>1932420.6905834086</v>
      </c>
      <c r="J123" s="45">
        <f>INDEX('Fee Calc'!L:L,MATCH(C:C,'Fee Calc'!F:F,0))</f>
        <v>0</v>
      </c>
      <c r="K123" s="45">
        <f t="shared" si="28"/>
        <v>1932420.6905834086</v>
      </c>
      <c r="L123" s="45">
        <v>764656.8</v>
      </c>
      <c r="M123" s="45">
        <v>0</v>
      </c>
      <c r="N123" s="45">
        <f t="shared" si="29"/>
        <v>764656.8</v>
      </c>
      <c r="O123" s="45">
        <v>686803.55626963358</v>
      </c>
      <c r="P123" s="45">
        <v>0</v>
      </c>
      <c r="Q123" s="45">
        <f t="shared" si="30"/>
        <v>686803.55626963358</v>
      </c>
      <c r="R123" s="45" t="str">
        <f t="shared" si="31"/>
        <v>Yes</v>
      </c>
      <c r="S123" s="46" t="str">
        <f t="shared" si="31"/>
        <v>No</v>
      </c>
      <c r="T123" s="47">
        <f>ROUND(INDEX(Summary!H:H,MATCH(H:H,Summary!A:A,0)),2)</f>
        <v>0.26</v>
      </c>
      <c r="U123" s="47">
        <f>ROUND(INDEX(Summary!I:I,MATCH(H:H,Summary!A:A,0)),2)</f>
        <v>0</v>
      </c>
      <c r="V123" s="81">
        <f t="shared" si="32"/>
        <v>502429.37955168623</v>
      </c>
      <c r="W123" s="81">
        <f t="shared" si="32"/>
        <v>0</v>
      </c>
      <c r="X123" s="45">
        <f t="shared" si="33"/>
        <v>502429.37955168623</v>
      </c>
      <c r="Y123" s="45" t="s">
        <v>2752</v>
      </c>
      <c r="Z123" s="45" t="str">
        <f t="shared" si="34"/>
        <v>No</v>
      </c>
      <c r="AA123" s="45" t="str">
        <f t="shared" si="34"/>
        <v>No</v>
      </c>
      <c r="AB123" s="45" t="str">
        <f t="shared" si="35"/>
        <v>Yes</v>
      </c>
      <c r="AC123" s="82">
        <f t="shared" si="36"/>
        <v>7.0000000000000007E-2</v>
      </c>
      <c r="AD123" s="82">
        <f t="shared" si="36"/>
        <v>0</v>
      </c>
      <c r="AE123" s="45">
        <f t="shared" si="37"/>
        <v>135269.4483408386</v>
      </c>
      <c r="AF123" s="45">
        <f t="shared" si="37"/>
        <v>0</v>
      </c>
      <c r="AG123" s="45">
        <f t="shared" si="38"/>
        <v>135269.4483408386</v>
      </c>
      <c r="AH123" s="47">
        <f>IFERROR(ROUNDDOWN(INDEX('90% of ACR'!K:K,MATCH(H:H,'90% of ACR'!A:A,0))*IF(I123&gt;0,IF(O123&gt;0,$R$4*MAX(O123-V123,0),0),0)/I123,2),0)</f>
        <v>0</v>
      </c>
      <c r="AI123" s="82">
        <f>IFERROR(ROUNDDOWN(INDEX('90% of ACR'!R:R,MATCH(H:H,'90% of ACR'!A:A,0))*IF(J123&gt;0,IF(P123&gt;0,$R$4*MAX(P123-W123,0),0),0)/J123,2),0)</f>
        <v>0</v>
      </c>
      <c r="AJ123" s="45">
        <f t="shared" si="39"/>
        <v>0</v>
      </c>
      <c r="AK123" s="45">
        <f t="shared" si="39"/>
        <v>0</v>
      </c>
      <c r="AL123" s="47">
        <f t="shared" si="40"/>
        <v>0.26</v>
      </c>
      <c r="AM123" s="47">
        <f t="shared" si="40"/>
        <v>0</v>
      </c>
      <c r="AN123" s="83">
        <f>IFERROR(INDEX('Fee Calc'!P:P,MATCH(C123,'Fee Calc'!F:F,0)),0)</f>
        <v>502429.37955168623</v>
      </c>
      <c r="AO123" s="83">
        <f>IFERROR(INDEX('Fee Calc'!Q:Q,MATCH(C123,'Fee Calc'!F:F,0)),0)</f>
        <v>30652.190264426485</v>
      </c>
      <c r="AP123" s="83">
        <f t="shared" si="41"/>
        <v>533081.56981611275</v>
      </c>
      <c r="AQ123" s="70">
        <f t="shared" si="42"/>
        <v>227642.88892171424</v>
      </c>
      <c r="AR123" s="70">
        <f t="shared" si="43"/>
        <v>113821.44446085712</v>
      </c>
      <c r="AS123" s="70">
        <f t="shared" si="44"/>
        <v>113821.44446085712</v>
      </c>
    </row>
    <row r="124" spans="1:45" ht="25.5">
      <c r="A124" s="104" t="s">
        <v>1312</v>
      </c>
      <c r="B124" s="124" t="s">
        <v>1312</v>
      </c>
      <c r="C124" s="31" t="s">
        <v>1313</v>
      </c>
      <c r="D124" s="125" t="s">
        <v>1313</v>
      </c>
      <c r="E124" s="119" t="s">
        <v>2828</v>
      </c>
      <c r="F124" s="100" t="s">
        <v>2529</v>
      </c>
      <c r="G124" s="100" t="s">
        <v>300</v>
      </c>
      <c r="H124" s="43" t="str">
        <f t="shared" si="27"/>
        <v>Non-state-owned IMD Harris</v>
      </c>
      <c r="I124" s="45">
        <f>INDEX('Fee Calc'!M:M,MATCH(C:C,'Fee Calc'!F:F,0))</f>
        <v>5092141.6932386216</v>
      </c>
      <c r="J124" s="45">
        <f>INDEX('Fee Calc'!L:L,MATCH(C:C,'Fee Calc'!F:F,0))</f>
        <v>0</v>
      </c>
      <c r="K124" s="45">
        <f t="shared" si="28"/>
        <v>5092141.6932386216</v>
      </c>
      <c r="L124" s="45">
        <v>1007694.1</v>
      </c>
      <c r="M124" s="45">
        <v>0</v>
      </c>
      <c r="N124" s="45">
        <f t="shared" si="29"/>
        <v>1007694.1</v>
      </c>
      <c r="O124" s="45">
        <v>1162761.817426817</v>
      </c>
      <c r="P124" s="45">
        <v>0</v>
      </c>
      <c r="Q124" s="45">
        <f t="shared" si="30"/>
        <v>1162761.817426817</v>
      </c>
      <c r="R124" s="45" t="str">
        <f t="shared" si="31"/>
        <v>Yes</v>
      </c>
      <c r="S124" s="46" t="str">
        <f t="shared" si="31"/>
        <v>No</v>
      </c>
      <c r="T124" s="47">
        <f>ROUND(INDEX(Summary!H:H,MATCH(H:H,Summary!A:A,0)),2)</f>
        <v>0.24</v>
      </c>
      <c r="U124" s="47">
        <f>ROUND(INDEX(Summary!I:I,MATCH(H:H,Summary!A:A,0)),2)</f>
        <v>0</v>
      </c>
      <c r="V124" s="81">
        <f t="shared" si="32"/>
        <v>1222114.006377269</v>
      </c>
      <c r="W124" s="81">
        <f t="shared" si="32"/>
        <v>0</v>
      </c>
      <c r="X124" s="45">
        <f t="shared" si="33"/>
        <v>1222114.006377269</v>
      </c>
      <c r="Y124" s="45" t="s">
        <v>2752</v>
      </c>
      <c r="Z124" s="45" t="str">
        <f t="shared" si="34"/>
        <v>No</v>
      </c>
      <c r="AA124" s="45" t="str">
        <f t="shared" si="34"/>
        <v>No</v>
      </c>
      <c r="AB124" s="45" t="str">
        <f t="shared" si="35"/>
        <v>No</v>
      </c>
      <c r="AC124" s="82">
        <f t="shared" si="36"/>
        <v>0</v>
      </c>
      <c r="AD124" s="82">
        <f t="shared" si="36"/>
        <v>0</v>
      </c>
      <c r="AE124" s="45">
        <f t="shared" si="37"/>
        <v>0</v>
      </c>
      <c r="AF124" s="45">
        <f t="shared" si="37"/>
        <v>0</v>
      </c>
      <c r="AG124" s="45">
        <f t="shared" si="38"/>
        <v>0</v>
      </c>
      <c r="AH124" s="47">
        <f>IFERROR(ROUNDDOWN(INDEX('90% of ACR'!K:K,MATCH(H:H,'90% of ACR'!A:A,0))*IF(I124&gt;0,IF(O124&gt;0,$R$4*MAX(O124-V124,0),0),0)/I124,2),0)</f>
        <v>0</v>
      </c>
      <c r="AI124" s="82">
        <f>IFERROR(ROUNDDOWN(INDEX('90% of ACR'!R:R,MATCH(H:H,'90% of ACR'!A:A,0))*IF(J124&gt;0,IF(P124&gt;0,$R$4*MAX(P124-W124,0),0),0)/J124,2),0)</f>
        <v>0</v>
      </c>
      <c r="AJ124" s="45">
        <f t="shared" si="39"/>
        <v>0</v>
      </c>
      <c r="AK124" s="45">
        <f t="shared" si="39"/>
        <v>0</v>
      </c>
      <c r="AL124" s="47">
        <f t="shared" si="40"/>
        <v>0.24</v>
      </c>
      <c r="AM124" s="47">
        <f t="shared" si="40"/>
        <v>0</v>
      </c>
      <c r="AN124" s="83">
        <f>IFERROR(INDEX('Fee Calc'!P:P,MATCH(C124,'Fee Calc'!F:F,0)),0)</f>
        <v>1222114.006377269</v>
      </c>
      <c r="AO124" s="83">
        <f>IFERROR(INDEX('Fee Calc'!Q:Q,MATCH(C124,'Fee Calc'!F:F,0)),0)</f>
        <v>74558.67943415702</v>
      </c>
      <c r="AP124" s="83">
        <f t="shared" si="41"/>
        <v>1296672.685811426</v>
      </c>
      <c r="AQ124" s="70">
        <f t="shared" si="42"/>
        <v>553720.7303674249</v>
      </c>
      <c r="AR124" s="70">
        <f t="shared" si="43"/>
        <v>276860.36518371245</v>
      </c>
      <c r="AS124" s="70">
        <f t="shared" si="44"/>
        <v>276860.36518371245</v>
      </c>
    </row>
    <row r="125" spans="1:45" ht="25.5">
      <c r="A125" s="104" t="s">
        <v>1339</v>
      </c>
      <c r="B125" s="124" t="s">
        <v>1339</v>
      </c>
      <c r="C125" s="31" t="s">
        <v>1340</v>
      </c>
      <c r="D125" s="125" t="s">
        <v>1340</v>
      </c>
      <c r="E125" s="119" t="s">
        <v>2829</v>
      </c>
      <c r="F125" s="100" t="s">
        <v>2529</v>
      </c>
      <c r="G125" s="100" t="s">
        <v>487</v>
      </c>
      <c r="H125" s="43" t="str">
        <f t="shared" si="27"/>
        <v>Non-state-owned IMD Bexar</v>
      </c>
      <c r="I125" s="45">
        <f>INDEX('Fee Calc'!M:M,MATCH(C:C,'Fee Calc'!F:F,0))</f>
        <v>4546098.1784821441</v>
      </c>
      <c r="J125" s="45">
        <f>INDEX('Fee Calc'!L:L,MATCH(C:C,'Fee Calc'!F:F,0))</f>
        <v>0</v>
      </c>
      <c r="K125" s="45">
        <f t="shared" si="28"/>
        <v>4546098.1784821441</v>
      </c>
      <c r="L125" s="45">
        <v>1131970.72</v>
      </c>
      <c r="M125" s="45">
        <v>0</v>
      </c>
      <c r="N125" s="45">
        <f t="shared" si="29"/>
        <v>1131970.72</v>
      </c>
      <c r="O125" s="45">
        <v>1022708.3496157685</v>
      </c>
      <c r="P125" s="45">
        <v>0</v>
      </c>
      <c r="Q125" s="45">
        <f t="shared" si="30"/>
        <v>1022708.3496157685</v>
      </c>
      <c r="R125" s="45" t="str">
        <f t="shared" si="31"/>
        <v>Yes</v>
      </c>
      <c r="S125" s="46" t="str">
        <f t="shared" si="31"/>
        <v>No</v>
      </c>
      <c r="T125" s="47">
        <f>ROUND(INDEX(Summary!H:H,MATCH(H:H,Summary!A:A,0)),2)</f>
        <v>7.0000000000000007E-2</v>
      </c>
      <c r="U125" s="47">
        <f>ROUND(INDEX(Summary!I:I,MATCH(H:H,Summary!A:A,0)),2)</f>
        <v>0</v>
      </c>
      <c r="V125" s="81">
        <f t="shared" si="32"/>
        <v>318226.87249375012</v>
      </c>
      <c r="W125" s="81">
        <f t="shared" si="32"/>
        <v>0</v>
      </c>
      <c r="X125" s="45">
        <f t="shared" si="33"/>
        <v>318226.87249375012</v>
      </c>
      <c r="Y125" s="45" t="s">
        <v>2752</v>
      </c>
      <c r="Z125" s="45" t="str">
        <f t="shared" si="34"/>
        <v>No</v>
      </c>
      <c r="AA125" s="45" t="str">
        <f t="shared" si="34"/>
        <v>No</v>
      </c>
      <c r="AB125" s="45" t="str">
        <f t="shared" si="35"/>
        <v>Yes</v>
      </c>
      <c r="AC125" s="82">
        <f t="shared" si="36"/>
        <v>0.11</v>
      </c>
      <c r="AD125" s="82">
        <f t="shared" si="36"/>
        <v>0</v>
      </c>
      <c r="AE125" s="45">
        <f t="shared" si="37"/>
        <v>500070.79963303584</v>
      </c>
      <c r="AF125" s="45">
        <f t="shared" si="37"/>
        <v>0</v>
      </c>
      <c r="AG125" s="45">
        <f t="shared" si="38"/>
        <v>500070.79963303584</v>
      </c>
      <c r="AH125" s="47">
        <f>IFERROR(ROUNDDOWN(INDEX('90% of ACR'!K:K,MATCH(H:H,'90% of ACR'!A:A,0))*IF(I125&gt;0,IF(O125&gt;0,$R$4*MAX(O125-V125,0),0),0)/I125,2),0)</f>
        <v>0</v>
      </c>
      <c r="AI125" s="82">
        <f>IFERROR(ROUNDDOWN(INDEX('90% of ACR'!R:R,MATCH(H:H,'90% of ACR'!A:A,0))*IF(J125&gt;0,IF(P125&gt;0,$R$4*MAX(P125-W125,0),0),0)/J125,2),0)</f>
        <v>0</v>
      </c>
      <c r="AJ125" s="45">
        <f t="shared" si="39"/>
        <v>0</v>
      </c>
      <c r="AK125" s="45">
        <f t="shared" si="39"/>
        <v>0</v>
      </c>
      <c r="AL125" s="47">
        <f t="shared" si="40"/>
        <v>7.0000000000000007E-2</v>
      </c>
      <c r="AM125" s="47">
        <f t="shared" si="40"/>
        <v>0</v>
      </c>
      <c r="AN125" s="83">
        <f>IFERROR(INDEX('Fee Calc'!P:P,MATCH(C125,'Fee Calc'!F:F,0)),0)</f>
        <v>318226.87249375012</v>
      </c>
      <c r="AO125" s="83">
        <f>IFERROR(INDEX('Fee Calc'!Q:Q,MATCH(C125,'Fee Calc'!F:F,0)),0)</f>
        <v>19414.371531448945</v>
      </c>
      <c r="AP125" s="83">
        <f t="shared" si="41"/>
        <v>337641.24402519909</v>
      </c>
      <c r="AQ125" s="70">
        <f t="shared" si="42"/>
        <v>144183.61571856882</v>
      </c>
      <c r="AR125" s="70">
        <f t="shared" si="43"/>
        <v>72091.80785928441</v>
      </c>
      <c r="AS125" s="70">
        <f t="shared" si="44"/>
        <v>72091.80785928441</v>
      </c>
    </row>
    <row r="126" spans="1:45" ht="25.5">
      <c r="A126" s="104" t="s">
        <v>1274</v>
      </c>
      <c r="B126" s="124" t="s">
        <v>1274</v>
      </c>
      <c r="C126" s="31" t="s">
        <v>1275</v>
      </c>
      <c r="D126" s="125" t="s">
        <v>1275</v>
      </c>
      <c r="E126" s="119" t="s">
        <v>2830</v>
      </c>
      <c r="F126" s="100" t="s">
        <v>2529</v>
      </c>
      <c r="G126" s="100" t="s">
        <v>1365</v>
      </c>
      <c r="H126" s="43" t="str">
        <f t="shared" si="27"/>
        <v>Non-state-owned IMD Tarrant</v>
      </c>
      <c r="I126" s="45">
        <f>INDEX('Fee Calc'!M:M,MATCH(C:C,'Fee Calc'!F:F,0))</f>
        <v>3991742.687376603</v>
      </c>
      <c r="J126" s="45">
        <f>INDEX('Fee Calc'!L:L,MATCH(C:C,'Fee Calc'!F:F,0))</f>
        <v>0</v>
      </c>
      <c r="K126" s="45">
        <f t="shared" si="28"/>
        <v>3991742.687376603</v>
      </c>
      <c r="L126" s="45">
        <v>635007.36</v>
      </c>
      <c r="M126" s="45">
        <v>0</v>
      </c>
      <c r="N126" s="45">
        <f t="shared" si="29"/>
        <v>635007.36</v>
      </c>
      <c r="O126" s="45">
        <v>582509.99010901153</v>
      </c>
      <c r="P126" s="45">
        <v>0</v>
      </c>
      <c r="Q126" s="45">
        <f t="shared" si="30"/>
        <v>582509.99010901153</v>
      </c>
      <c r="R126" s="45" t="str">
        <f t="shared" si="31"/>
        <v>Yes</v>
      </c>
      <c r="S126" s="46" t="str">
        <f t="shared" si="31"/>
        <v>No</v>
      </c>
      <c r="T126" s="47">
        <f>ROUND(INDEX(Summary!H:H,MATCH(H:H,Summary!A:A,0)),2)</f>
        <v>0.21</v>
      </c>
      <c r="U126" s="47">
        <f>ROUND(INDEX(Summary!I:I,MATCH(H:H,Summary!A:A,0)),2)</f>
        <v>0</v>
      </c>
      <c r="V126" s="81">
        <f t="shared" si="32"/>
        <v>838265.96434908663</v>
      </c>
      <c r="W126" s="81">
        <f t="shared" si="32"/>
        <v>0</v>
      </c>
      <c r="X126" s="45">
        <f t="shared" si="33"/>
        <v>838265.96434908663</v>
      </c>
      <c r="Y126" s="45" t="s">
        <v>2752</v>
      </c>
      <c r="Z126" s="45" t="str">
        <f t="shared" si="34"/>
        <v>No</v>
      </c>
      <c r="AA126" s="45" t="str">
        <f t="shared" si="34"/>
        <v>No</v>
      </c>
      <c r="AB126" s="45" t="str">
        <f t="shared" si="35"/>
        <v>No</v>
      </c>
      <c r="AC126" s="82">
        <f t="shared" si="36"/>
        <v>0</v>
      </c>
      <c r="AD126" s="82">
        <f t="shared" si="36"/>
        <v>0</v>
      </c>
      <c r="AE126" s="45">
        <f t="shared" si="37"/>
        <v>0</v>
      </c>
      <c r="AF126" s="45">
        <f t="shared" si="37"/>
        <v>0</v>
      </c>
      <c r="AG126" s="45">
        <f t="shared" si="38"/>
        <v>0</v>
      </c>
      <c r="AH126" s="47">
        <f>IFERROR(ROUNDDOWN(INDEX('90% of ACR'!K:K,MATCH(H:H,'90% of ACR'!A:A,0))*IF(I126&gt;0,IF(O126&gt;0,$R$4*MAX(O126-V126,0),0),0)/I126,2),0)</f>
        <v>0</v>
      </c>
      <c r="AI126" s="82">
        <f>IFERROR(ROUNDDOWN(INDEX('90% of ACR'!R:R,MATCH(H:H,'90% of ACR'!A:A,0))*IF(J126&gt;0,IF(P126&gt;0,$R$4*MAX(P126-W126,0),0),0)/J126,2),0)</f>
        <v>0</v>
      </c>
      <c r="AJ126" s="45">
        <f t="shared" si="39"/>
        <v>0</v>
      </c>
      <c r="AK126" s="45">
        <f t="shared" si="39"/>
        <v>0</v>
      </c>
      <c r="AL126" s="47">
        <f t="shared" si="40"/>
        <v>0.21</v>
      </c>
      <c r="AM126" s="47">
        <f t="shared" si="40"/>
        <v>0</v>
      </c>
      <c r="AN126" s="83">
        <f>IFERROR(INDEX('Fee Calc'!P:P,MATCH(C126,'Fee Calc'!F:F,0)),0)</f>
        <v>838265.96434908663</v>
      </c>
      <c r="AO126" s="83">
        <f>IFERROR(INDEX('Fee Calc'!Q:Q,MATCH(C126,'Fee Calc'!F:F,0)),0)</f>
        <v>51140.89437673473</v>
      </c>
      <c r="AP126" s="83">
        <f t="shared" si="41"/>
        <v>889406.85872582137</v>
      </c>
      <c r="AQ126" s="70">
        <f t="shared" si="42"/>
        <v>379805.1896954049</v>
      </c>
      <c r="AR126" s="70">
        <f t="shared" si="43"/>
        <v>189902.59484770245</v>
      </c>
      <c r="AS126" s="70">
        <f t="shared" si="44"/>
        <v>189902.59484770245</v>
      </c>
    </row>
    <row r="127" spans="1:45" ht="25.5">
      <c r="A127" s="104" t="s">
        <v>1342</v>
      </c>
      <c r="B127" s="124" t="s">
        <v>1342</v>
      </c>
      <c r="C127" s="31" t="s">
        <v>1343</v>
      </c>
      <c r="D127" s="125" t="s">
        <v>1343</v>
      </c>
      <c r="E127" s="119" t="s">
        <v>2831</v>
      </c>
      <c r="F127" s="100" t="s">
        <v>2529</v>
      </c>
      <c r="G127" s="100" t="s">
        <v>1202</v>
      </c>
      <c r="H127" s="43" t="str">
        <f t="shared" si="27"/>
        <v>Non-state-owned IMD Travis</v>
      </c>
      <c r="I127" s="45">
        <f>INDEX('Fee Calc'!M:M,MATCH(C:C,'Fee Calc'!F:F,0))</f>
        <v>2073220.8295724646</v>
      </c>
      <c r="J127" s="45">
        <f>INDEX('Fee Calc'!L:L,MATCH(C:C,'Fee Calc'!F:F,0))</f>
        <v>0</v>
      </c>
      <c r="K127" s="45">
        <f t="shared" si="28"/>
        <v>2073220.8295724646</v>
      </c>
      <c r="L127" s="45">
        <v>459128.16</v>
      </c>
      <c r="M127" s="45">
        <v>0</v>
      </c>
      <c r="N127" s="45">
        <f t="shared" si="29"/>
        <v>459128.16</v>
      </c>
      <c r="O127" s="45">
        <v>674241.24730700767</v>
      </c>
      <c r="P127" s="45">
        <v>0</v>
      </c>
      <c r="Q127" s="45">
        <f t="shared" si="30"/>
        <v>674241.24730700767</v>
      </c>
      <c r="R127" s="45" t="str">
        <f t="shared" si="31"/>
        <v>Yes</v>
      </c>
      <c r="S127" s="46" t="str">
        <f t="shared" si="31"/>
        <v>No</v>
      </c>
      <c r="T127" s="47">
        <f>ROUND(INDEX(Summary!H:H,MATCH(H:H,Summary!A:A,0)),2)</f>
        <v>0.28000000000000003</v>
      </c>
      <c r="U127" s="47">
        <f>ROUND(INDEX(Summary!I:I,MATCH(H:H,Summary!A:A,0)),2)</f>
        <v>0</v>
      </c>
      <c r="V127" s="81">
        <f t="shared" si="32"/>
        <v>580501.83228029008</v>
      </c>
      <c r="W127" s="81">
        <f t="shared" si="32"/>
        <v>0</v>
      </c>
      <c r="X127" s="45">
        <f t="shared" si="33"/>
        <v>580501.83228029008</v>
      </c>
      <c r="Y127" s="45" t="s">
        <v>2752</v>
      </c>
      <c r="Z127" s="45" t="str">
        <f t="shared" si="34"/>
        <v>No</v>
      </c>
      <c r="AA127" s="45" t="str">
        <f t="shared" si="34"/>
        <v>No</v>
      </c>
      <c r="AB127" s="45" t="str">
        <f t="shared" si="35"/>
        <v>Yes</v>
      </c>
      <c r="AC127" s="82">
        <f t="shared" si="36"/>
        <v>0.03</v>
      </c>
      <c r="AD127" s="82">
        <f t="shared" si="36"/>
        <v>0</v>
      </c>
      <c r="AE127" s="45">
        <f t="shared" si="37"/>
        <v>62196.624887173937</v>
      </c>
      <c r="AF127" s="45">
        <f t="shared" si="37"/>
        <v>0</v>
      </c>
      <c r="AG127" s="45">
        <f t="shared" si="38"/>
        <v>62196.624887173937</v>
      </c>
      <c r="AH127" s="47">
        <f>IFERROR(ROUNDDOWN(INDEX('90% of ACR'!K:K,MATCH(H:H,'90% of ACR'!A:A,0))*IF(I127&gt;0,IF(O127&gt;0,$R$4*MAX(O127-V127,0),0),0)/I127,2),0)</f>
        <v>0</v>
      </c>
      <c r="AI127" s="82">
        <f>IFERROR(ROUNDDOWN(INDEX('90% of ACR'!R:R,MATCH(H:H,'90% of ACR'!A:A,0))*IF(J127&gt;0,IF(P127&gt;0,$R$4*MAX(P127-W127,0),0),0)/J127,2),0)</f>
        <v>0</v>
      </c>
      <c r="AJ127" s="45">
        <f t="shared" si="39"/>
        <v>0</v>
      </c>
      <c r="AK127" s="45">
        <f t="shared" si="39"/>
        <v>0</v>
      </c>
      <c r="AL127" s="47">
        <f t="shared" si="40"/>
        <v>0.28000000000000003</v>
      </c>
      <c r="AM127" s="47">
        <f t="shared" si="40"/>
        <v>0</v>
      </c>
      <c r="AN127" s="83">
        <f>IFERROR(INDEX('Fee Calc'!P:P,MATCH(C127,'Fee Calc'!F:F,0)),0)</f>
        <v>580501.83228029008</v>
      </c>
      <c r="AO127" s="83">
        <f>IFERROR(INDEX('Fee Calc'!Q:Q,MATCH(C127,'Fee Calc'!F:F,0)),0)</f>
        <v>35415.231147073406</v>
      </c>
      <c r="AP127" s="83">
        <f t="shared" si="41"/>
        <v>615917.06342736352</v>
      </c>
      <c r="AQ127" s="70">
        <f t="shared" si="42"/>
        <v>263016.29542951391</v>
      </c>
      <c r="AR127" s="70">
        <f t="shared" si="43"/>
        <v>131508.14771475695</v>
      </c>
      <c r="AS127" s="70">
        <f t="shared" si="44"/>
        <v>131508.14771475695</v>
      </c>
    </row>
    <row r="128" spans="1:45" ht="25.5">
      <c r="A128" s="104" t="s">
        <v>1218</v>
      </c>
      <c r="B128" s="124" t="s">
        <v>1218</v>
      </c>
      <c r="C128" s="31" t="s">
        <v>1219</v>
      </c>
      <c r="D128" s="125" t="s">
        <v>1219</v>
      </c>
      <c r="E128" s="119" t="s">
        <v>2832</v>
      </c>
      <c r="F128" s="100" t="s">
        <v>2529</v>
      </c>
      <c r="G128" s="100" t="s">
        <v>300</v>
      </c>
      <c r="H128" s="43" t="str">
        <f t="shared" si="27"/>
        <v>Non-state-owned IMD Harris</v>
      </c>
      <c r="I128" s="45">
        <f>INDEX('Fee Calc'!M:M,MATCH(C:C,'Fee Calc'!F:F,0))</f>
        <v>3171127.9401434958</v>
      </c>
      <c r="J128" s="45">
        <f>INDEX('Fee Calc'!L:L,MATCH(C:C,'Fee Calc'!F:F,0))</f>
        <v>0</v>
      </c>
      <c r="K128" s="45">
        <f t="shared" si="28"/>
        <v>3171127.9401434958</v>
      </c>
      <c r="L128" s="45">
        <v>739749.42</v>
      </c>
      <c r="M128" s="45">
        <v>0</v>
      </c>
      <c r="N128" s="45">
        <f t="shared" si="29"/>
        <v>739749.42</v>
      </c>
      <c r="O128" s="45">
        <v>680509.97232786031</v>
      </c>
      <c r="P128" s="45">
        <v>0</v>
      </c>
      <c r="Q128" s="45">
        <f t="shared" si="30"/>
        <v>680509.97232786031</v>
      </c>
      <c r="R128" s="45" t="str">
        <f t="shared" si="31"/>
        <v>Yes</v>
      </c>
      <c r="S128" s="46" t="str">
        <f t="shared" si="31"/>
        <v>No</v>
      </c>
      <c r="T128" s="47">
        <f>ROUND(INDEX(Summary!H:H,MATCH(H:H,Summary!A:A,0)),2)</f>
        <v>0.24</v>
      </c>
      <c r="U128" s="47">
        <f>ROUND(INDEX(Summary!I:I,MATCH(H:H,Summary!A:A,0)),2)</f>
        <v>0</v>
      </c>
      <c r="V128" s="81">
        <f t="shared" si="32"/>
        <v>761070.70563443901</v>
      </c>
      <c r="W128" s="81">
        <f t="shared" si="32"/>
        <v>0</v>
      </c>
      <c r="X128" s="45">
        <f t="shared" si="33"/>
        <v>761070.70563443901</v>
      </c>
      <c r="Y128" s="45" t="s">
        <v>2752</v>
      </c>
      <c r="Z128" s="45" t="str">
        <f t="shared" si="34"/>
        <v>No</v>
      </c>
      <c r="AA128" s="45" t="str">
        <f t="shared" si="34"/>
        <v>No</v>
      </c>
      <c r="AB128" s="45" t="str">
        <f t="shared" si="35"/>
        <v>No</v>
      </c>
      <c r="AC128" s="82">
        <f t="shared" si="36"/>
        <v>0</v>
      </c>
      <c r="AD128" s="82">
        <f t="shared" si="36"/>
        <v>0</v>
      </c>
      <c r="AE128" s="45">
        <f t="shared" si="37"/>
        <v>0</v>
      </c>
      <c r="AF128" s="45">
        <f t="shared" si="37"/>
        <v>0</v>
      </c>
      <c r="AG128" s="45">
        <f t="shared" si="38"/>
        <v>0</v>
      </c>
      <c r="AH128" s="47">
        <f>IFERROR(ROUNDDOWN(INDEX('90% of ACR'!K:K,MATCH(H:H,'90% of ACR'!A:A,0))*IF(I128&gt;0,IF(O128&gt;0,$R$4*MAX(O128-V128,0),0),0)/I128,2),0)</f>
        <v>0</v>
      </c>
      <c r="AI128" s="82">
        <f>IFERROR(ROUNDDOWN(INDEX('90% of ACR'!R:R,MATCH(H:H,'90% of ACR'!A:A,0))*IF(J128&gt;0,IF(P128&gt;0,$R$4*MAX(P128-W128,0),0),0)/J128,2),0)</f>
        <v>0</v>
      </c>
      <c r="AJ128" s="45">
        <f t="shared" si="39"/>
        <v>0</v>
      </c>
      <c r="AK128" s="45">
        <f t="shared" si="39"/>
        <v>0</v>
      </c>
      <c r="AL128" s="47">
        <f t="shared" si="40"/>
        <v>0.24</v>
      </c>
      <c r="AM128" s="47">
        <f t="shared" si="40"/>
        <v>0</v>
      </c>
      <c r="AN128" s="83">
        <f>IFERROR(INDEX('Fee Calc'!P:P,MATCH(C128,'Fee Calc'!F:F,0)),0)</f>
        <v>761070.70563443901</v>
      </c>
      <c r="AO128" s="83">
        <f>IFERROR(INDEX('Fee Calc'!Q:Q,MATCH(C128,'Fee Calc'!F:F,0)),0)</f>
        <v>46431.36930926286</v>
      </c>
      <c r="AP128" s="83">
        <f t="shared" si="41"/>
        <v>807502.07494370185</v>
      </c>
      <c r="AQ128" s="70">
        <f t="shared" si="42"/>
        <v>344829.22606735886</v>
      </c>
      <c r="AR128" s="70">
        <f t="shared" si="43"/>
        <v>172414.61303367943</v>
      </c>
      <c r="AS128" s="70">
        <f t="shared" si="44"/>
        <v>172414.61303367943</v>
      </c>
    </row>
    <row r="129" spans="1:45">
      <c r="A129" s="104" t="s">
        <v>1362</v>
      </c>
      <c r="B129" s="124" t="s">
        <v>1362</v>
      </c>
      <c r="C129" s="31" t="s">
        <v>1363</v>
      </c>
      <c r="D129" s="125" t="s">
        <v>1363</v>
      </c>
      <c r="E129" s="119" t="s">
        <v>2833</v>
      </c>
      <c r="F129" s="100" t="s">
        <v>2279</v>
      </c>
      <c r="G129" s="100" t="s">
        <v>1365</v>
      </c>
      <c r="H129" s="43" t="str">
        <f t="shared" si="27"/>
        <v>Urban Tarrant</v>
      </c>
      <c r="I129" s="45">
        <f>INDEX('Fee Calc'!M:M,MATCH(C:C,'Fee Calc'!F:F,0))</f>
        <v>0</v>
      </c>
      <c r="J129" s="45">
        <f>INDEX('Fee Calc'!L:L,MATCH(C:C,'Fee Calc'!F:F,0))</f>
        <v>48456.179269536588</v>
      </c>
      <c r="K129" s="45">
        <f t="shared" si="28"/>
        <v>48456.179269536588</v>
      </c>
      <c r="L129" s="45">
        <v>145322.16</v>
      </c>
      <c r="M129" s="45">
        <v>-100042.12</v>
      </c>
      <c r="N129" s="45">
        <f t="shared" si="29"/>
        <v>45280.040000000008</v>
      </c>
      <c r="O129" s="45">
        <v>507591.7076649532</v>
      </c>
      <c r="P129" s="45">
        <v>-5300.1815782874619</v>
      </c>
      <c r="Q129" s="45">
        <f t="shared" si="30"/>
        <v>502291.52608666575</v>
      </c>
      <c r="R129" s="45" t="str">
        <f t="shared" si="31"/>
        <v>Yes</v>
      </c>
      <c r="S129" s="46" t="str">
        <f t="shared" si="31"/>
        <v>No</v>
      </c>
      <c r="T129" s="47">
        <f>ROUND(INDEX(Summary!H:H,MATCH(H:H,Summary!A:A,0)),2)</f>
        <v>0.74</v>
      </c>
      <c r="U129" s="47">
        <f>ROUND(INDEX(Summary!I:I,MATCH(H:H,Summary!A:A,0)),2)</f>
        <v>0.49</v>
      </c>
      <c r="V129" s="81">
        <f t="shared" si="32"/>
        <v>0</v>
      </c>
      <c r="W129" s="81">
        <f t="shared" si="32"/>
        <v>23743.527842072926</v>
      </c>
      <c r="X129" s="45">
        <f t="shared" si="33"/>
        <v>23743.527842072926</v>
      </c>
      <c r="Y129" s="45" t="s">
        <v>2752</v>
      </c>
      <c r="Z129" s="45" t="str">
        <f t="shared" si="34"/>
        <v>No</v>
      </c>
      <c r="AA129" s="45" t="str">
        <f t="shared" si="34"/>
        <v>No</v>
      </c>
      <c r="AB129" s="45" t="str">
        <f t="shared" si="35"/>
        <v>No</v>
      </c>
      <c r="AC129" s="82">
        <f t="shared" si="36"/>
        <v>0</v>
      </c>
      <c r="AD129" s="82">
        <f t="shared" si="36"/>
        <v>0</v>
      </c>
      <c r="AE129" s="45">
        <f t="shared" si="37"/>
        <v>0</v>
      </c>
      <c r="AF129" s="45">
        <f t="shared" si="37"/>
        <v>0</v>
      </c>
      <c r="AG129" s="45">
        <f t="shared" si="38"/>
        <v>0</v>
      </c>
      <c r="AH129" s="47">
        <f>IFERROR(ROUNDDOWN(INDEX('90% of ACR'!K:K,MATCH(H:H,'90% of ACR'!A:A,0))*IF(I129&gt;0,IF(O129&gt;0,$R$4*MAX(O129-V129,0),0),0)/I129,2),0)</f>
        <v>0</v>
      </c>
      <c r="AI129" s="82">
        <f>IFERROR(ROUNDDOWN(INDEX('90% of ACR'!R:R,MATCH(H:H,'90% of ACR'!A:A,0))*IF(J129&gt;0,IF(P129&gt;0,$R$4*MAX(P129-W129,0),0),0)/J129,2),0)</f>
        <v>0</v>
      </c>
      <c r="AJ129" s="45">
        <f t="shared" si="39"/>
        <v>0</v>
      </c>
      <c r="AK129" s="45">
        <f t="shared" si="39"/>
        <v>0</v>
      </c>
      <c r="AL129" s="47">
        <f t="shared" si="40"/>
        <v>0.74</v>
      </c>
      <c r="AM129" s="47">
        <f t="shared" si="40"/>
        <v>0.49</v>
      </c>
      <c r="AN129" s="83">
        <f>IFERROR(INDEX('Fee Calc'!P:P,MATCH(C129,'Fee Calc'!F:F,0)),0)</f>
        <v>23743.527842072926</v>
      </c>
      <c r="AO129" s="83">
        <f>IFERROR(INDEX('Fee Calc'!Q:Q,MATCH(C129,'Fee Calc'!F:F,0)),0)</f>
        <v>1505.791566068476</v>
      </c>
      <c r="AP129" s="83">
        <f t="shared" si="41"/>
        <v>25249.319408141404</v>
      </c>
      <c r="AQ129" s="70">
        <f t="shared" si="42"/>
        <v>10782.267365497441</v>
      </c>
      <c r="AR129" s="70">
        <f t="shared" si="43"/>
        <v>5391.1336827487203</v>
      </c>
      <c r="AS129" s="70">
        <f t="shared" si="44"/>
        <v>5391.1336827487203</v>
      </c>
    </row>
    <row r="130" spans="1:45" ht="25.5">
      <c r="A130" s="104" t="s">
        <v>1345</v>
      </c>
      <c r="B130" s="124" t="s">
        <v>1345</v>
      </c>
      <c r="C130" s="31" t="s">
        <v>1346</v>
      </c>
      <c r="D130" s="125" t="s">
        <v>1346</v>
      </c>
      <c r="E130" s="119" t="s">
        <v>2834</v>
      </c>
      <c r="F130" s="100" t="s">
        <v>2529</v>
      </c>
      <c r="G130" s="100" t="s">
        <v>1365</v>
      </c>
      <c r="H130" s="43" t="str">
        <f t="shared" si="27"/>
        <v>Non-state-owned IMD Tarrant</v>
      </c>
      <c r="I130" s="45">
        <f>INDEX('Fee Calc'!M:M,MATCH(C:C,'Fee Calc'!F:F,0))</f>
        <v>1592580.4316981903</v>
      </c>
      <c r="J130" s="45">
        <f>INDEX('Fee Calc'!L:L,MATCH(C:C,'Fee Calc'!F:F,0))</f>
        <v>0</v>
      </c>
      <c r="K130" s="45">
        <f t="shared" si="28"/>
        <v>1592580.4316981903</v>
      </c>
      <c r="L130" s="45">
        <v>456102.72</v>
      </c>
      <c r="M130" s="45">
        <v>0</v>
      </c>
      <c r="N130" s="45">
        <f t="shared" si="29"/>
        <v>456102.72</v>
      </c>
      <c r="O130" s="45">
        <v>439485.77982342406</v>
      </c>
      <c r="P130" s="45">
        <v>0</v>
      </c>
      <c r="Q130" s="45">
        <f t="shared" si="30"/>
        <v>439485.77982342406</v>
      </c>
      <c r="R130" s="45" t="str">
        <f t="shared" si="31"/>
        <v>Yes</v>
      </c>
      <c r="S130" s="46" t="str">
        <f t="shared" si="31"/>
        <v>No</v>
      </c>
      <c r="T130" s="47">
        <f>ROUND(INDEX(Summary!H:H,MATCH(H:H,Summary!A:A,0)),2)</f>
        <v>0.21</v>
      </c>
      <c r="U130" s="47">
        <f>ROUND(INDEX(Summary!I:I,MATCH(H:H,Summary!A:A,0)),2)</f>
        <v>0</v>
      </c>
      <c r="V130" s="81">
        <f t="shared" si="32"/>
        <v>334441.89065661997</v>
      </c>
      <c r="W130" s="81">
        <f t="shared" si="32"/>
        <v>0</v>
      </c>
      <c r="X130" s="45">
        <f t="shared" si="33"/>
        <v>334441.89065661997</v>
      </c>
      <c r="Y130" s="45" t="s">
        <v>2752</v>
      </c>
      <c r="Z130" s="45" t="str">
        <f t="shared" si="34"/>
        <v>No</v>
      </c>
      <c r="AA130" s="45" t="str">
        <f t="shared" si="34"/>
        <v>No</v>
      </c>
      <c r="AB130" s="45" t="str">
        <f t="shared" si="35"/>
        <v>Yes</v>
      </c>
      <c r="AC130" s="82">
        <f t="shared" si="36"/>
        <v>0.05</v>
      </c>
      <c r="AD130" s="82">
        <f t="shared" si="36"/>
        <v>0</v>
      </c>
      <c r="AE130" s="45">
        <f t="shared" si="37"/>
        <v>79629.021584909526</v>
      </c>
      <c r="AF130" s="45">
        <f t="shared" si="37"/>
        <v>0</v>
      </c>
      <c r="AG130" s="45">
        <f t="shared" si="38"/>
        <v>79629.021584909526</v>
      </c>
      <c r="AH130" s="47">
        <f>IFERROR(ROUNDDOWN(INDEX('90% of ACR'!K:K,MATCH(H:H,'90% of ACR'!A:A,0))*IF(I130&gt;0,IF(O130&gt;0,$R$4*MAX(O130-V130,0),0),0)/I130,2),0)</f>
        <v>0</v>
      </c>
      <c r="AI130" s="82">
        <f>IFERROR(ROUNDDOWN(INDEX('90% of ACR'!R:R,MATCH(H:H,'90% of ACR'!A:A,0))*IF(J130&gt;0,IF(P130&gt;0,$R$4*MAX(P130-W130,0),0),0)/J130,2),0)</f>
        <v>0</v>
      </c>
      <c r="AJ130" s="45">
        <f t="shared" si="39"/>
        <v>0</v>
      </c>
      <c r="AK130" s="45">
        <f t="shared" si="39"/>
        <v>0</v>
      </c>
      <c r="AL130" s="47">
        <f t="shared" si="40"/>
        <v>0.21</v>
      </c>
      <c r="AM130" s="47">
        <f t="shared" si="40"/>
        <v>0</v>
      </c>
      <c r="AN130" s="83">
        <f>IFERROR(INDEX('Fee Calc'!P:P,MATCH(C130,'Fee Calc'!F:F,0)),0)</f>
        <v>334441.89065661997</v>
      </c>
      <c r="AO130" s="83">
        <f>IFERROR(INDEX('Fee Calc'!Q:Q,MATCH(C130,'Fee Calc'!F:F,0)),0)</f>
        <v>20403.616671358774</v>
      </c>
      <c r="AP130" s="83">
        <f t="shared" si="41"/>
        <v>354845.50732797873</v>
      </c>
      <c r="AQ130" s="70">
        <f t="shared" si="42"/>
        <v>151530.38668528141</v>
      </c>
      <c r="AR130" s="70">
        <f t="shared" si="43"/>
        <v>75765.193342640705</v>
      </c>
      <c r="AS130" s="70">
        <f t="shared" si="44"/>
        <v>75765.193342640705</v>
      </c>
    </row>
    <row r="131" spans="1:45" ht="25.5">
      <c r="A131" s="104" t="s">
        <v>1348</v>
      </c>
      <c r="B131" s="124" t="s">
        <v>2569</v>
      </c>
      <c r="C131" s="31" t="s">
        <v>1349</v>
      </c>
      <c r="D131" s="125" t="s">
        <v>1349</v>
      </c>
      <c r="E131" s="119" t="s">
        <v>2835</v>
      </c>
      <c r="F131" s="100" t="s">
        <v>2529</v>
      </c>
      <c r="G131" s="100" t="s">
        <v>1189</v>
      </c>
      <c r="H131" s="43" t="str">
        <f t="shared" si="27"/>
        <v>Non-state-owned IMD El Paso</v>
      </c>
      <c r="I131" s="45">
        <f>INDEX('Fee Calc'!M:M,MATCH(C:C,'Fee Calc'!F:F,0))</f>
        <v>4493867.2808380695</v>
      </c>
      <c r="J131" s="45">
        <f>INDEX('Fee Calc'!L:L,MATCH(C:C,'Fee Calc'!F:F,0))</f>
        <v>0</v>
      </c>
      <c r="K131" s="45">
        <f t="shared" si="28"/>
        <v>4493867.2808380695</v>
      </c>
      <c r="L131" s="45">
        <v>0</v>
      </c>
      <c r="M131" s="45">
        <v>0</v>
      </c>
      <c r="N131" s="45">
        <f t="shared" si="29"/>
        <v>0</v>
      </c>
      <c r="O131" s="45">
        <v>805990.09511079593</v>
      </c>
      <c r="P131" s="45">
        <v>0</v>
      </c>
      <c r="Q131" s="45">
        <f t="shared" si="30"/>
        <v>805990.09511079593</v>
      </c>
      <c r="R131" s="45" t="str">
        <f t="shared" si="31"/>
        <v>Yes</v>
      </c>
      <c r="S131" s="46" t="str">
        <f t="shared" si="31"/>
        <v>No</v>
      </c>
      <c r="T131" s="47">
        <f>ROUND(INDEX(Summary!H:H,MATCH(H:H,Summary!A:A,0)),2)</f>
        <v>0.02</v>
      </c>
      <c r="U131" s="47">
        <f>ROUND(INDEX(Summary!I:I,MATCH(H:H,Summary!A:A,0)),2)</f>
        <v>0</v>
      </c>
      <c r="V131" s="81">
        <f t="shared" si="32"/>
        <v>89877.345616761391</v>
      </c>
      <c r="W131" s="81">
        <f t="shared" si="32"/>
        <v>0</v>
      </c>
      <c r="X131" s="45">
        <f t="shared" si="33"/>
        <v>89877.345616761391</v>
      </c>
      <c r="Y131" s="45" t="s">
        <v>2752</v>
      </c>
      <c r="Z131" s="45" t="str">
        <f t="shared" si="34"/>
        <v>Yes</v>
      </c>
      <c r="AA131" s="45" t="str">
        <f t="shared" si="34"/>
        <v>No</v>
      </c>
      <c r="AB131" s="45" t="str">
        <f t="shared" si="35"/>
        <v>Yes</v>
      </c>
      <c r="AC131" s="82">
        <f t="shared" si="36"/>
        <v>0.11</v>
      </c>
      <c r="AD131" s="82">
        <f t="shared" si="36"/>
        <v>0</v>
      </c>
      <c r="AE131" s="45">
        <f t="shared" si="37"/>
        <v>494325.40089218767</v>
      </c>
      <c r="AF131" s="45">
        <f t="shared" si="37"/>
        <v>0</v>
      </c>
      <c r="AG131" s="45">
        <f t="shared" si="38"/>
        <v>494325.40089218767</v>
      </c>
      <c r="AH131" s="47">
        <f>IFERROR(ROUNDDOWN(INDEX('90% of ACR'!K:K,MATCH(H:H,'90% of ACR'!A:A,0))*IF(I131&gt;0,IF(O131&gt;0,$R$4*MAX(O131-V131,0),0),0)/I131,2),0)</f>
        <v>0.11</v>
      </c>
      <c r="AI131" s="82">
        <f>IFERROR(ROUNDDOWN(INDEX('90% of ACR'!R:R,MATCH(H:H,'90% of ACR'!A:A,0))*IF(J131&gt;0,IF(P131&gt;0,$R$4*MAX(P131-W131,0),0),0)/J131,2),0)</f>
        <v>0</v>
      </c>
      <c r="AJ131" s="45">
        <f t="shared" si="39"/>
        <v>494325.40089218767</v>
      </c>
      <c r="AK131" s="45">
        <f t="shared" si="39"/>
        <v>0</v>
      </c>
      <c r="AL131" s="47">
        <f t="shared" si="40"/>
        <v>0.13</v>
      </c>
      <c r="AM131" s="47">
        <f t="shared" si="40"/>
        <v>0</v>
      </c>
      <c r="AN131" s="83">
        <f>IFERROR(INDEX('Fee Calc'!P:P,MATCH(C131,'Fee Calc'!F:F,0)),0)</f>
        <v>584202.74650894909</v>
      </c>
      <c r="AO131" s="83">
        <f>IFERROR(INDEX('Fee Calc'!Q:Q,MATCH(C131,'Fee Calc'!F:F,0)),0)</f>
        <v>35641.016365267453</v>
      </c>
      <c r="AP131" s="83">
        <f t="shared" si="41"/>
        <v>619843.76287421654</v>
      </c>
      <c r="AQ131" s="70">
        <f t="shared" si="42"/>
        <v>264693.12174770248</v>
      </c>
      <c r="AR131" s="70">
        <f t="shared" si="43"/>
        <v>132346.56087385124</v>
      </c>
      <c r="AS131" s="70">
        <f t="shared" si="44"/>
        <v>132346.56087385124</v>
      </c>
    </row>
    <row r="132" spans="1:45" ht="25.5">
      <c r="A132" s="104" t="s">
        <v>1353</v>
      </c>
      <c r="B132" s="124" t="s">
        <v>1353</v>
      </c>
      <c r="C132" s="31" t="s">
        <v>1354</v>
      </c>
      <c r="D132" s="125" t="s">
        <v>1354</v>
      </c>
      <c r="E132" s="119" t="s">
        <v>2836</v>
      </c>
      <c r="F132" s="100" t="s">
        <v>2529</v>
      </c>
      <c r="G132" s="100" t="s">
        <v>300</v>
      </c>
      <c r="H132" s="43" t="str">
        <f t="shared" si="27"/>
        <v>Non-state-owned IMD Harris</v>
      </c>
      <c r="I132" s="45">
        <f>INDEX('Fee Calc'!M:M,MATCH(C:C,'Fee Calc'!F:F,0))</f>
        <v>5628117.6923030084</v>
      </c>
      <c r="J132" s="45">
        <f>INDEX('Fee Calc'!L:L,MATCH(C:C,'Fee Calc'!F:F,0))</f>
        <v>0</v>
      </c>
      <c r="K132" s="45">
        <f t="shared" si="28"/>
        <v>5628117.6923030084</v>
      </c>
      <c r="L132" s="45">
        <v>981410.68</v>
      </c>
      <c r="M132" s="45">
        <v>0</v>
      </c>
      <c r="N132" s="45">
        <f t="shared" si="29"/>
        <v>981410.68</v>
      </c>
      <c r="O132" s="45">
        <v>983043.60422661435</v>
      </c>
      <c r="P132" s="45">
        <v>0</v>
      </c>
      <c r="Q132" s="45">
        <f t="shared" si="30"/>
        <v>983043.60422661435</v>
      </c>
      <c r="R132" s="45" t="str">
        <f t="shared" si="31"/>
        <v>Yes</v>
      </c>
      <c r="S132" s="46" t="str">
        <f t="shared" si="31"/>
        <v>No</v>
      </c>
      <c r="T132" s="47">
        <f>ROUND(INDEX(Summary!H:H,MATCH(H:H,Summary!A:A,0)),2)</f>
        <v>0.24</v>
      </c>
      <c r="U132" s="47">
        <f>ROUND(INDEX(Summary!I:I,MATCH(H:H,Summary!A:A,0)),2)</f>
        <v>0</v>
      </c>
      <c r="V132" s="81">
        <f t="shared" si="32"/>
        <v>1350748.246152722</v>
      </c>
      <c r="W132" s="81">
        <f t="shared" si="32"/>
        <v>0</v>
      </c>
      <c r="X132" s="45">
        <f t="shared" si="33"/>
        <v>1350748.246152722</v>
      </c>
      <c r="Y132" s="45" t="s">
        <v>2752</v>
      </c>
      <c r="Z132" s="45" t="str">
        <f t="shared" si="34"/>
        <v>No</v>
      </c>
      <c r="AA132" s="45" t="str">
        <f t="shared" si="34"/>
        <v>No</v>
      </c>
      <c r="AB132" s="45" t="str">
        <f t="shared" si="35"/>
        <v>No</v>
      </c>
      <c r="AC132" s="82">
        <f t="shared" si="36"/>
        <v>0</v>
      </c>
      <c r="AD132" s="82">
        <f t="shared" si="36"/>
        <v>0</v>
      </c>
      <c r="AE132" s="45">
        <f t="shared" si="37"/>
        <v>0</v>
      </c>
      <c r="AF132" s="45">
        <f t="shared" si="37"/>
        <v>0</v>
      </c>
      <c r="AG132" s="45">
        <f t="shared" si="38"/>
        <v>0</v>
      </c>
      <c r="AH132" s="47">
        <f>IFERROR(ROUNDDOWN(INDEX('90% of ACR'!K:K,MATCH(H:H,'90% of ACR'!A:A,0))*IF(I132&gt;0,IF(O132&gt;0,$R$4*MAX(O132-V132,0),0),0)/I132,2),0)</f>
        <v>0</v>
      </c>
      <c r="AI132" s="82">
        <f>IFERROR(ROUNDDOWN(INDEX('90% of ACR'!R:R,MATCH(H:H,'90% of ACR'!A:A,0))*IF(J132&gt;0,IF(P132&gt;0,$R$4*MAX(P132-W132,0),0),0)/J132,2),0)</f>
        <v>0</v>
      </c>
      <c r="AJ132" s="45">
        <f t="shared" si="39"/>
        <v>0</v>
      </c>
      <c r="AK132" s="45">
        <f t="shared" si="39"/>
        <v>0</v>
      </c>
      <c r="AL132" s="47">
        <f t="shared" si="40"/>
        <v>0.24</v>
      </c>
      <c r="AM132" s="47">
        <f t="shared" si="40"/>
        <v>0</v>
      </c>
      <c r="AN132" s="83">
        <f>IFERROR(INDEX('Fee Calc'!P:P,MATCH(C132,'Fee Calc'!F:F,0)),0)</f>
        <v>1350748.246152722</v>
      </c>
      <c r="AO132" s="83">
        <f>IFERROR(INDEX('Fee Calc'!Q:Q,MATCH(C132,'Fee Calc'!F:F,0)),0)</f>
        <v>82406.39167509976</v>
      </c>
      <c r="AP132" s="83">
        <f t="shared" si="41"/>
        <v>1433154.6378278218</v>
      </c>
      <c r="AQ132" s="70">
        <f t="shared" si="42"/>
        <v>612002.89130089048</v>
      </c>
      <c r="AR132" s="70">
        <f t="shared" si="43"/>
        <v>306001.44565044524</v>
      </c>
      <c r="AS132" s="70">
        <f t="shared" si="44"/>
        <v>306001.44565044524</v>
      </c>
    </row>
    <row r="133" spans="1:45">
      <c r="A133" s="104" t="s">
        <v>822</v>
      </c>
      <c r="B133" s="124" t="s">
        <v>822</v>
      </c>
      <c r="C133" s="31" t="s">
        <v>823</v>
      </c>
      <c r="D133" s="125" t="s">
        <v>823</v>
      </c>
      <c r="E133" s="119" t="s">
        <v>2837</v>
      </c>
      <c r="F133" s="100" t="s">
        <v>2291</v>
      </c>
      <c r="G133" s="100" t="s">
        <v>300</v>
      </c>
      <c r="H133" s="43" t="str">
        <f t="shared" ref="H133:H196" si="45">CONCATENATE(F133," ",G133)</f>
        <v>Rural Harris</v>
      </c>
      <c r="I133" s="45">
        <f>INDEX('Fee Calc'!M:M,MATCH(C:C,'Fee Calc'!F:F,0))</f>
        <v>5315025.2015059777</v>
      </c>
      <c r="J133" s="45">
        <f>INDEX('Fee Calc'!L:L,MATCH(C:C,'Fee Calc'!F:F,0))</f>
        <v>3361050.797083436</v>
      </c>
      <c r="K133" s="45">
        <f t="shared" ref="K133:K196" si="46">I133+J133</f>
        <v>8676075.9985894132</v>
      </c>
      <c r="L133" s="45">
        <v>-256838.01</v>
      </c>
      <c r="M133" s="45">
        <v>1156782.56</v>
      </c>
      <c r="N133" s="45">
        <f t="shared" ref="N133:N196" si="47">+L133+M133</f>
        <v>899944.55</v>
      </c>
      <c r="O133" s="45">
        <v>-1152933.8457810858</v>
      </c>
      <c r="P133" s="45">
        <v>1452138.8741316339</v>
      </c>
      <c r="Q133" s="45">
        <f t="shared" ref="Q133:Q196" si="48">O133+P133</f>
        <v>299205.02835054812</v>
      </c>
      <c r="R133" s="45" t="str">
        <f t="shared" ref="R133:S196" si="49">IF(O133&gt;0,"Yes","No")</f>
        <v>No</v>
      </c>
      <c r="S133" s="46" t="str">
        <f t="shared" si="49"/>
        <v>Yes</v>
      </c>
      <c r="T133" s="47">
        <f>ROUND(INDEX(Summary!H:H,MATCH(H:H,Summary!A:A,0)),2)</f>
        <v>0.01</v>
      </c>
      <c r="U133" s="47">
        <f>ROUND(INDEX(Summary!I:I,MATCH(H:H,Summary!A:A,0)),2)</f>
        <v>0.28000000000000003</v>
      </c>
      <c r="V133" s="81">
        <f t="shared" ref="V133:W196" si="50">+T133*I133</f>
        <v>53150.252015059777</v>
      </c>
      <c r="W133" s="81">
        <f t="shared" si="50"/>
        <v>941094.22318336216</v>
      </c>
      <c r="X133" s="45">
        <f t="shared" ref="X133:X196" si="51">+V133+W133</f>
        <v>994244.47519842198</v>
      </c>
      <c r="Y133" s="45" t="s">
        <v>2752</v>
      </c>
      <c r="Z133" s="45" t="str">
        <f t="shared" ref="Z133:AA196" si="52">IF(AJ133&gt;0,"Yes","No")</f>
        <v>No</v>
      </c>
      <c r="AA133" s="45" t="str">
        <f t="shared" si="52"/>
        <v>No</v>
      </c>
      <c r="AB133" s="45" t="str">
        <f t="shared" ref="AB133:AB196" si="53">IF(AG133&gt;0,"Yes","No")</f>
        <v>Yes</v>
      </c>
      <c r="AC133" s="82">
        <f t="shared" ref="AC133:AD196" si="54">IFERROR(ROUND(IF(I133&gt;0,IF(O133&gt;0,$R$4*MAX(O133-V133,0),0),0)/I133,2),0)</f>
        <v>0</v>
      </c>
      <c r="AD133" s="82">
        <f t="shared" si="54"/>
        <v>0.11</v>
      </c>
      <c r="AE133" s="45">
        <f t="shared" ref="AE133:AF196" si="55">AC133*I133</f>
        <v>0</v>
      </c>
      <c r="AF133" s="45">
        <f t="shared" si="55"/>
        <v>369715.58767917799</v>
      </c>
      <c r="AG133" s="45">
        <f t="shared" ref="AG133:AG196" si="56">AE133+AF133</f>
        <v>369715.58767917799</v>
      </c>
      <c r="AH133" s="47">
        <f>IFERROR(ROUNDDOWN(INDEX('90% of ACR'!K:K,MATCH(H:H,'90% of ACR'!A:A,0))*IF(I133&gt;0,IF(O133&gt;0,$R$4*MAX(O133-V133,0),0),0)/I133,2),0)</f>
        <v>0</v>
      </c>
      <c r="AI133" s="82">
        <f>IFERROR(ROUNDDOWN(INDEX('90% of ACR'!R:R,MATCH(H:H,'90% of ACR'!A:A,0))*IF(J133&gt;0,IF(P133&gt;0,$R$4*MAX(P133-W133,0),0),0)/J133,2),0)</f>
        <v>0</v>
      </c>
      <c r="AJ133" s="45">
        <f t="shared" ref="AJ133:AK196" si="57">I133*AH133</f>
        <v>0</v>
      </c>
      <c r="AK133" s="45">
        <f t="shared" si="57"/>
        <v>0</v>
      </c>
      <c r="AL133" s="47">
        <f t="shared" ref="AL133:AM196" si="58">T133+AH133</f>
        <v>0.01</v>
      </c>
      <c r="AM133" s="47">
        <f t="shared" si="58"/>
        <v>0.28000000000000003</v>
      </c>
      <c r="AN133" s="83">
        <f>IFERROR(INDEX('Fee Calc'!P:P,MATCH(C133,'Fee Calc'!F:F,0)),0)</f>
        <v>994244.47519842198</v>
      </c>
      <c r="AO133" s="83">
        <f>IFERROR(INDEX('Fee Calc'!Q:Q,MATCH(C133,'Fee Calc'!F:F,0)),0)</f>
        <v>61251.158549205808</v>
      </c>
      <c r="AP133" s="83">
        <f t="shared" ref="AP133:AP196" si="59">AN133+AO133</f>
        <v>1055495.6337476277</v>
      </c>
      <c r="AQ133" s="70">
        <f t="shared" ref="AQ133:AQ196" si="60">$AQ$3*AP133*1.08</f>
        <v>450730.41147051693</v>
      </c>
      <c r="AR133" s="70">
        <f t="shared" ref="AR133:AR196" si="61">AQ133*0.5</f>
        <v>225365.20573525847</v>
      </c>
      <c r="AS133" s="70">
        <f t="shared" ref="AS133:AS196" si="62">AR133</f>
        <v>225365.20573525847</v>
      </c>
    </row>
    <row r="134" spans="1:45">
      <c r="A134" s="104" t="s">
        <v>76</v>
      </c>
      <c r="B134" s="124" t="s">
        <v>76</v>
      </c>
      <c r="C134" s="31" t="s">
        <v>77</v>
      </c>
      <c r="D134" s="125" t="s">
        <v>77</v>
      </c>
      <c r="E134" s="119" t="s">
        <v>2335</v>
      </c>
      <c r="F134" s="100" t="s">
        <v>2291</v>
      </c>
      <c r="G134" s="100" t="s">
        <v>1486</v>
      </c>
      <c r="H134" s="43" t="str">
        <f t="shared" si="45"/>
        <v>Rural MRSA Central</v>
      </c>
      <c r="I134" s="45">
        <f>INDEX('Fee Calc'!M:M,MATCH(C:C,'Fee Calc'!F:F,0))</f>
        <v>1630817.8674832464</v>
      </c>
      <c r="J134" s="45">
        <f>INDEX('Fee Calc'!L:L,MATCH(C:C,'Fee Calc'!F:F,0))</f>
        <v>794741.75925298908</v>
      </c>
      <c r="K134" s="45">
        <f t="shared" si="46"/>
        <v>2425559.6267362353</v>
      </c>
      <c r="L134" s="45">
        <v>-183827.27</v>
      </c>
      <c r="M134" s="45">
        <v>342422.67</v>
      </c>
      <c r="N134" s="45">
        <f t="shared" si="47"/>
        <v>158595.4</v>
      </c>
      <c r="O134" s="45">
        <v>-372977.48520790786</v>
      </c>
      <c r="P134" s="45">
        <v>230778.3774401593</v>
      </c>
      <c r="Q134" s="45">
        <f t="shared" si="48"/>
        <v>-142199.10776774856</v>
      </c>
      <c r="R134" s="45" t="str">
        <f t="shared" si="49"/>
        <v>No</v>
      </c>
      <c r="S134" s="46" t="str">
        <f t="shared" si="49"/>
        <v>Yes</v>
      </c>
      <c r="T134" s="47">
        <f>ROUND(INDEX(Summary!H:H,MATCH(H:H,Summary!A:A,0)),2)</f>
        <v>0.09</v>
      </c>
      <c r="U134" s="47">
        <f>ROUND(INDEX(Summary!I:I,MATCH(H:H,Summary!A:A,0)),2)</f>
        <v>0.09</v>
      </c>
      <c r="V134" s="81">
        <f t="shared" si="50"/>
        <v>146773.60807349216</v>
      </c>
      <c r="W134" s="81">
        <f t="shared" si="50"/>
        <v>71526.758332769008</v>
      </c>
      <c r="X134" s="45">
        <f t="shared" si="51"/>
        <v>218300.36640626116</v>
      </c>
      <c r="Y134" s="45" t="s">
        <v>2752</v>
      </c>
      <c r="Z134" s="45" t="str">
        <f t="shared" si="52"/>
        <v>No</v>
      </c>
      <c r="AA134" s="45" t="str">
        <f t="shared" si="52"/>
        <v>Yes</v>
      </c>
      <c r="AB134" s="45" t="str">
        <f t="shared" si="53"/>
        <v>Yes</v>
      </c>
      <c r="AC134" s="82">
        <f t="shared" si="54"/>
        <v>0</v>
      </c>
      <c r="AD134" s="82">
        <f t="shared" si="54"/>
        <v>0.14000000000000001</v>
      </c>
      <c r="AE134" s="45">
        <f t="shared" si="55"/>
        <v>0</v>
      </c>
      <c r="AF134" s="45">
        <f t="shared" si="55"/>
        <v>111263.84629541848</v>
      </c>
      <c r="AG134" s="45">
        <f t="shared" si="56"/>
        <v>111263.84629541848</v>
      </c>
      <c r="AH134" s="47">
        <f>IFERROR(ROUNDDOWN(INDEX('90% of ACR'!K:K,MATCH(H:H,'90% of ACR'!A:A,0))*IF(I134&gt;0,IF(O134&gt;0,$R$4*MAX(O134-V134,0),0),0)/I134,2),0)</f>
        <v>0</v>
      </c>
      <c r="AI134" s="82">
        <f>IFERROR(ROUNDDOWN(INDEX('90% of ACR'!R:R,MATCH(H:H,'90% of ACR'!A:A,0))*IF(J134&gt;0,IF(P134&gt;0,$R$4*MAX(P134-W134,0),0),0)/J134,2),0)</f>
        <v>0.13</v>
      </c>
      <c r="AJ134" s="45">
        <f t="shared" si="57"/>
        <v>0</v>
      </c>
      <c r="AK134" s="45">
        <f t="shared" si="57"/>
        <v>103316.42870288859</v>
      </c>
      <c r="AL134" s="47">
        <f t="shared" si="58"/>
        <v>0.09</v>
      </c>
      <c r="AM134" s="47">
        <f t="shared" si="58"/>
        <v>0.22</v>
      </c>
      <c r="AN134" s="83">
        <f>IFERROR(INDEX('Fee Calc'!P:P,MATCH(C134,'Fee Calc'!F:F,0)),0)</f>
        <v>321616.79510914977</v>
      </c>
      <c r="AO134" s="83">
        <f>IFERROR(INDEX('Fee Calc'!Q:Q,MATCH(C134,'Fee Calc'!F:F,0)),0)</f>
        <v>19755.071903857774</v>
      </c>
      <c r="AP134" s="83">
        <f t="shared" si="59"/>
        <v>341371.86701300752</v>
      </c>
      <c r="AQ134" s="70">
        <f t="shared" si="60"/>
        <v>145776.71111429864</v>
      </c>
      <c r="AR134" s="70">
        <f t="shared" si="61"/>
        <v>72888.35555714932</v>
      </c>
      <c r="AS134" s="70">
        <f t="shared" si="62"/>
        <v>72888.35555714932</v>
      </c>
    </row>
    <row r="135" spans="1:45">
      <c r="A135" s="104" t="s">
        <v>1041</v>
      </c>
      <c r="B135" s="124" t="s">
        <v>1041</v>
      </c>
      <c r="C135" s="31" t="s">
        <v>1042</v>
      </c>
      <c r="D135" s="125" t="s">
        <v>1042</v>
      </c>
      <c r="E135" s="119" t="s">
        <v>2838</v>
      </c>
      <c r="F135" s="100" t="s">
        <v>2279</v>
      </c>
      <c r="G135" s="100" t="s">
        <v>300</v>
      </c>
      <c r="H135" s="43" t="str">
        <f t="shared" si="45"/>
        <v>Urban Harris</v>
      </c>
      <c r="I135" s="45">
        <f>INDEX('Fee Calc'!M:M,MATCH(C:C,'Fee Calc'!F:F,0))</f>
        <v>20872648.396955207</v>
      </c>
      <c r="J135" s="45">
        <f>INDEX('Fee Calc'!L:L,MATCH(C:C,'Fee Calc'!F:F,0))</f>
        <v>7951162.7623377331</v>
      </c>
      <c r="K135" s="45">
        <f t="shared" si="46"/>
        <v>28823811.15929294</v>
      </c>
      <c r="L135" s="45">
        <v>19639155.469999999</v>
      </c>
      <c r="M135" s="45">
        <v>7481211.2000000002</v>
      </c>
      <c r="N135" s="45">
        <f t="shared" si="47"/>
        <v>27120366.669999998</v>
      </c>
      <c r="O135" s="45">
        <v>36529912.305183277</v>
      </c>
      <c r="P135" s="45">
        <v>8269130.893143571</v>
      </c>
      <c r="Q135" s="45">
        <f t="shared" si="48"/>
        <v>44799043.198326848</v>
      </c>
      <c r="R135" s="45" t="str">
        <f t="shared" si="49"/>
        <v>Yes</v>
      </c>
      <c r="S135" s="46" t="str">
        <f t="shared" si="49"/>
        <v>Yes</v>
      </c>
      <c r="T135" s="47">
        <f>ROUND(INDEX(Summary!H:H,MATCH(H:H,Summary!A:A,0)),2)</f>
        <v>1.57</v>
      </c>
      <c r="U135" s="47">
        <f>ROUND(INDEX(Summary!I:I,MATCH(H:H,Summary!A:A,0)),2)</f>
        <v>0.3</v>
      </c>
      <c r="V135" s="81">
        <f t="shared" si="50"/>
        <v>32770057.983219676</v>
      </c>
      <c r="W135" s="81">
        <f t="shared" si="50"/>
        <v>2385348.8287013196</v>
      </c>
      <c r="X135" s="45">
        <f t="shared" si="51"/>
        <v>35155406.811920993</v>
      </c>
      <c r="Y135" s="45" t="s">
        <v>2752</v>
      </c>
      <c r="Z135" s="45" t="str">
        <f t="shared" si="52"/>
        <v>No</v>
      </c>
      <c r="AA135" s="45" t="str">
        <f t="shared" si="52"/>
        <v>Yes</v>
      </c>
      <c r="AB135" s="45" t="str">
        <f t="shared" si="53"/>
        <v>Yes</v>
      </c>
      <c r="AC135" s="82">
        <f t="shared" si="54"/>
        <v>0.13</v>
      </c>
      <c r="AD135" s="82">
        <f t="shared" si="54"/>
        <v>0.52</v>
      </c>
      <c r="AE135" s="45">
        <f t="shared" si="55"/>
        <v>2713444.2916041771</v>
      </c>
      <c r="AF135" s="45">
        <f t="shared" si="55"/>
        <v>4134604.6364156213</v>
      </c>
      <c r="AG135" s="45">
        <f t="shared" si="56"/>
        <v>6848048.9280197984</v>
      </c>
      <c r="AH135" s="47">
        <f>IFERROR(ROUNDDOWN(INDEX('90% of ACR'!K:K,MATCH(H:H,'90% of ACR'!A:A,0))*IF(I135&gt;0,IF(O135&gt;0,$R$4*MAX(O135-V135,0),0),0)/I135,2),0)</f>
        <v>0</v>
      </c>
      <c r="AI135" s="82">
        <f>IFERROR(ROUNDDOWN(INDEX('90% of ACR'!R:R,MATCH(H:H,'90% of ACR'!A:A,0))*IF(J135&gt;0,IF(P135&gt;0,$R$4*MAX(P135-W135,0),0),0)/J135,2),0)</f>
        <v>0.48</v>
      </c>
      <c r="AJ135" s="45">
        <f t="shared" si="57"/>
        <v>0</v>
      </c>
      <c r="AK135" s="45">
        <f t="shared" si="57"/>
        <v>3816558.1259221118</v>
      </c>
      <c r="AL135" s="47">
        <f t="shared" si="58"/>
        <v>1.57</v>
      </c>
      <c r="AM135" s="47">
        <f t="shared" si="58"/>
        <v>0.78</v>
      </c>
      <c r="AN135" s="83">
        <f>IFERROR(INDEX('Fee Calc'!P:P,MATCH(C135,'Fee Calc'!F:F,0)),0)</f>
        <v>38971964.937843107</v>
      </c>
      <c r="AO135" s="83">
        <f>IFERROR(INDEX('Fee Calc'!Q:Q,MATCH(C135,'Fee Calc'!F:F,0)),0)</f>
        <v>2461334.5731330272</v>
      </c>
      <c r="AP135" s="83">
        <f t="shared" si="59"/>
        <v>41433299.510976136</v>
      </c>
      <c r="AQ135" s="70">
        <f t="shared" si="60"/>
        <v>17693344.756771162</v>
      </c>
      <c r="AR135" s="70">
        <f t="shared" si="61"/>
        <v>8846672.3783855811</v>
      </c>
      <c r="AS135" s="70">
        <f t="shared" si="62"/>
        <v>8846672.3783855811</v>
      </c>
    </row>
    <row r="136" spans="1:45">
      <c r="A136" s="104" t="s">
        <v>1315</v>
      </c>
      <c r="B136" s="124" t="s">
        <v>1315</v>
      </c>
      <c r="C136" s="31" t="s">
        <v>1316</v>
      </c>
      <c r="D136" s="125" t="s">
        <v>1316</v>
      </c>
      <c r="E136" s="119" t="s">
        <v>2574</v>
      </c>
      <c r="F136" s="100" t="s">
        <v>2279</v>
      </c>
      <c r="G136" s="100" t="s">
        <v>300</v>
      </c>
      <c r="H136" s="43" t="str">
        <f t="shared" si="45"/>
        <v>Urban Harris</v>
      </c>
      <c r="I136" s="45">
        <f>INDEX('Fee Calc'!M:M,MATCH(C:C,'Fee Calc'!F:F,0))</f>
        <v>5333402.6556210276</v>
      </c>
      <c r="J136" s="45">
        <f>INDEX('Fee Calc'!L:L,MATCH(C:C,'Fee Calc'!F:F,0))</f>
        <v>3425617.1117161307</v>
      </c>
      <c r="K136" s="45">
        <f t="shared" si="46"/>
        <v>8759019.7673371583</v>
      </c>
      <c r="L136" s="45">
        <v>2981055.31</v>
      </c>
      <c r="M136" s="45">
        <v>2405595.7200000002</v>
      </c>
      <c r="N136" s="45">
        <f t="shared" si="47"/>
        <v>5386651.0300000003</v>
      </c>
      <c r="O136" s="45">
        <v>7136208.9235707447</v>
      </c>
      <c r="P136" s="45">
        <v>3486187.0162461475</v>
      </c>
      <c r="Q136" s="45">
        <f t="shared" si="48"/>
        <v>10622395.939816892</v>
      </c>
      <c r="R136" s="45" t="str">
        <f t="shared" si="49"/>
        <v>Yes</v>
      </c>
      <c r="S136" s="46" t="str">
        <f t="shared" si="49"/>
        <v>Yes</v>
      </c>
      <c r="T136" s="47">
        <f>ROUND(INDEX(Summary!H:H,MATCH(H:H,Summary!A:A,0)),2)</f>
        <v>1.57</v>
      </c>
      <c r="U136" s="47">
        <f>ROUND(INDEX(Summary!I:I,MATCH(H:H,Summary!A:A,0)),2)</f>
        <v>0.3</v>
      </c>
      <c r="V136" s="81">
        <f t="shared" si="50"/>
        <v>8373442.1693250136</v>
      </c>
      <c r="W136" s="81">
        <f t="shared" si="50"/>
        <v>1027685.1335148392</v>
      </c>
      <c r="X136" s="45">
        <f t="shared" si="51"/>
        <v>9401127.3028398529</v>
      </c>
      <c r="Y136" s="45" t="s">
        <v>2752</v>
      </c>
      <c r="Z136" s="45" t="str">
        <f t="shared" si="52"/>
        <v>No</v>
      </c>
      <c r="AA136" s="45" t="str">
        <f t="shared" si="52"/>
        <v>Yes</v>
      </c>
      <c r="AB136" s="45" t="str">
        <f t="shared" si="53"/>
        <v>Yes</v>
      </c>
      <c r="AC136" s="82">
        <f t="shared" si="54"/>
        <v>0</v>
      </c>
      <c r="AD136" s="82">
        <f t="shared" si="54"/>
        <v>0.5</v>
      </c>
      <c r="AE136" s="45">
        <f t="shared" si="55"/>
        <v>0</v>
      </c>
      <c r="AF136" s="45">
        <f t="shared" si="55"/>
        <v>1712808.5558580654</v>
      </c>
      <c r="AG136" s="45">
        <f t="shared" si="56"/>
        <v>1712808.5558580654</v>
      </c>
      <c r="AH136" s="47">
        <f>IFERROR(ROUNDDOWN(INDEX('90% of ACR'!K:K,MATCH(H:H,'90% of ACR'!A:A,0))*IF(I136&gt;0,IF(O136&gt;0,$R$4*MAX(O136-V136,0),0),0)/I136,2),0)</f>
        <v>0</v>
      </c>
      <c r="AI136" s="82">
        <f>IFERROR(ROUNDDOWN(INDEX('90% of ACR'!R:R,MATCH(H:H,'90% of ACR'!A:A,0))*IF(J136&gt;0,IF(P136&gt;0,$R$4*MAX(P136-W136,0),0),0)/J136,2),0)</f>
        <v>0.46</v>
      </c>
      <c r="AJ136" s="45">
        <f t="shared" si="57"/>
        <v>0</v>
      </c>
      <c r="AK136" s="45">
        <f t="shared" si="57"/>
        <v>1575783.8713894202</v>
      </c>
      <c r="AL136" s="47">
        <f t="shared" si="58"/>
        <v>1.57</v>
      </c>
      <c r="AM136" s="47">
        <f t="shared" si="58"/>
        <v>0.76</v>
      </c>
      <c r="AN136" s="83">
        <f>IFERROR(INDEX('Fee Calc'!P:P,MATCH(C136,'Fee Calc'!F:F,0)),0)</f>
        <v>10976911.174229274</v>
      </c>
      <c r="AO136" s="83">
        <f>IFERROR(INDEX('Fee Calc'!Q:Q,MATCH(C136,'Fee Calc'!F:F,0)),0)</f>
        <v>679497.26106305653</v>
      </c>
      <c r="AP136" s="83">
        <f t="shared" si="59"/>
        <v>11656408.43529233</v>
      </c>
      <c r="AQ136" s="70">
        <f t="shared" si="60"/>
        <v>4977659.4069397543</v>
      </c>
      <c r="AR136" s="70">
        <f t="shared" si="61"/>
        <v>2488829.7034698771</v>
      </c>
      <c r="AS136" s="70">
        <f t="shared" si="62"/>
        <v>2488829.7034698771</v>
      </c>
    </row>
    <row r="137" spans="1:45">
      <c r="A137" s="104" t="s">
        <v>416</v>
      </c>
      <c r="B137" s="124" t="s">
        <v>416</v>
      </c>
      <c r="C137" s="31" t="s">
        <v>417</v>
      </c>
      <c r="D137" s="125" t="s">
        <v>417</v>
      </c>
      <c r="E137" s="119" t="s">
        <v>2575</v>
      </c>
      <c r="F137" s="100" t="s">
        <v>2279</v>
      </c>
      <c r="G137" s="100" t="s">
        <v>300</v>
      </c>
      <c r="H137" s="43" t="str">
        <f t="shared" si="45"/>
        <v>Urban Harris</v>
      </c>
      <c r="I137" s="45">
        <f>INDEX('Fee Calc'!M:M,MATCH(C:C,'Fee Calc'!F:F,0))</f>
        <v>89236.804098321707</v>
      </c>
      <c r="J137" s="45">
        <f>INDEX('Fee Calc'!L:L,MATCH(C:C,'Fee Calc'!F:F,0))</f>
        <v>205538.09816532451</v>
      </c>
      <c r="K137" s="45">
        <f t="shared" si="46"/>
        <v>294774.90226364625</v>
      </c>
      <c r="L137" s="45">
        <v>50647.01</v>
      </c>
      <c r="M137" s="45">
        <v>232816.93</v>
      </c>
      <c r="N137" s="45">
        <f t="shared" si="47"/>
        <v>283463.94</v>
      </c>
      <c r="O137" s="45">
        <v>229408.18561160838</v>
      </c>
      <c r="P137" s="45">
        <v>257522.47239461602</v>
      </c>
      <c r="Q137" s="45">
        <f t="shared" si="48"/>
        <v>486930.65800622443</v>
      </c>
      <c r="R137" s="45" t="str">
        <f t="shared" si="49"/>
        <v>Yes</v>
      </c>
      <c r="S137" s="46" t="str">
        <f t="shared" si="49"/>
        <v>Yes</v>
      </c>
      <c r="T137" s="47">
        <f>ROUND(INDEX(Summary!H:H,MATCH(H:H,Summary!A:A,0)),2)</f>
        <v>1.57</v>
      </c>
      <c r="U137" s="47">
        <f>ROUND(INDEX(Summary!I:I,MATCH(H:H,Summary!A:A,0)),2)</f>
        <v>0.3</v>
      </c>
      <c r="V137" s="81">
        <f t="shared" si="50"/>
        <v>140101.78243436507</v>
      </c>
      <c r="W137" s="81">
        <f t="shared" si="50"/>
        <v>61661.429449597352</v>
      </c>
      <c r="X137" s="45">
        <f t="shared" si="51"/>
        <v>201763.21188396242</v>
      </c>
      <c r="Y137" s="45" t="s">
        <v>2752</v>
      </c>
      <c r="Z137" s="45" t="str">
        <f t="shared" si="52"/>
        <v>No</v>
      </c>
      <c r="AA137" s="45" t="str">
        <f t="shared" si="52"/>
        <v>Yes</v>
      </c>
      <c r="AB137" s="45" t="str">
        <f t="shared" si="53"/>
        <v>Yes</v>
      </c>
      <c r="AC137" s="82">
        <f t="shared" si="54"/>
        <v>0.7</v>
      </c>
      <c r="AD137" s="82">
        <f t="shared" si="54"/>
        <v>0.66</v>
      </c>
      <c r="AE137" s="45">
        <f t="shared" si="55"/>
        <v>62465.762868825193</v>
      </c>
      <c r="AF137" s="45">
        <f t="shared" si="55"/>
        <v>135655.14478911419</v>
      </c>
      <c r="AG137" s="45">
        <f t="shared" si="56"/>
        <v>198120.90765793939</v>
      </c>
      <c r="AH137" s="47">
        <f>IFERROR(ROUNDDOWN(INDEX('90% of ACR'!K:K,MATCH(H:H,'90% of ACR'!A:A,0))*IF(I137&gt;0,IF(O137&gt;0,$R$4*MAX(O137-V137,0),0),0)/I137,2),0)</f>
        <v>0</v>
      </c>
      <c r="AI137" s="82">
        <f>IFERROR(ROUNDDOWN(INDEX('90% of ACR'!R:R,MATCH(H:H,'90% of ACR'!A:A,0))*IF(J137&gt;0,IF(P137&gt;0,$R$4*MAX(P137-W137,0),0),0)/J137,2),0)</f>
        <v>0.62</v>
      </c>
      <c r="AJ137" s="45">
        <f t="shared" si="57"/>
        <v>0</v>
      </c>
      <c r="AK137" s="45">
        <f t="shared" si="57"/>
        <v>127433.62086250119</v>
      </c>
      <c r="AL137" s="47">
        <f t="shared" si="58"/>
        <v>1.57</v>
      </c>
      <c r="AM137" s="47">
        <f t="shared" si="58"/>
        <v>0.91999999999999993</v>
      </c>
      <c r="AN137" s="83">
        <f>IFERROR(INDEX('Fee Calc'!P:P,MATCH(C137,'Fee Calc'!F:F,0)),0)</f>
        <v>329196.83274646359</v>
      </c>
      <c r="AO137" s="83">
        <f>IFERROR(INDEX('Fee Calc'!Q:Q,MATCH(C137,'Fee Calc'!F:F,0)),0)</f>
        <v>20720.365831437703</v>
      </c>
      <c r="AP137" s="83">
        <f t="shared" si="59"/>
        <v>349917.19857790129</v>
      </c>
      <c r="AQ137" s="70">
        <f t="shared" si="60"/>
        <v>149425.84114311836</v>
      </c>
      <c r="AR137" s="70">
        <f t="shared" si="61"/>
        <v>74712.920571559182</v>
      </c>
      <c r="AS137" s="70">
        <f t="shared" si="62"/>
        <v>74712.920571559182</v>
      </c>
    </row>
    <row r="138" spans="1:45">
      <c r="A138" s="104" t="s">
        <v>410</v>
      </c>
      <c r="B138" s="124" t="s">
        <v>410</v>
      </c>
      <c r="C138" s="31" t="s">
        <v>411</v>
      </c>
      <c r="D138" s="125" t="s">
        <v>411</v>
      </c>
      <c r="E138" s="119" t="s">
        <v>2839</v>
      </c>
      <c r="F138" s="100" t="s">
        <v>2279</v>
      </c>
      <c r="G138" s="100" t="s">
        <v>300</v>
      </c>
      <c r="H138" s="43" t="str">
        <f t="shared" si="45"/>
        <v>Urban Harris</v>
      </c>
      <c r="I138" s="45">
        <f>INDEX('Fee Calc'!M:M,MATCH(C:C,'Fee Calc'!F:F,0))</f>
        <v>3608775.4224799806</v>
      </c>
      <c r="J138" s="45">
        <f>INDEX('Fee Calc'!L:L,MATCH(C:C,'Fee Calc'!F:F,0))</f>
        <v>1702670.5845615692</v>
      </c>
      <c r="K138" s="45">
        <f t="shared" si="46"/>
        <v>5311446.0070415493</v>
      </c>
      <c r="L138" s="45">
        <v>2858950.36</v>
      </c>
      <c r="M138" s="45">
        <v>748020.13</v>
      </c>
      <c r="N138" s="45">
        <f t="shared" si="47"/>
        <v>3606970.4899999998</v>
      </c>
      <c r="O138" s="45">
        <v>5177489.4988162443</v>
      </c>
      <c r="P138" s="45">
        <v>901063.98120481055</v>
      </c>
      <c r="Q138" s="45">
        <f t="shared" si="48"/>
        <v>6078553.4800210549</v>
      </c>
      <c r="R138" s="45" t="str">
        <f t="shared" si="49"/>
        <v>Yes</v>
      </c>
      <c r="S138" s="46" t="str">
        <f t="shared" si="49"/>
        <v>Yes</v>
      </c>
      <c r="T138" s="47">
        <f>ROUND(INDEX(Summary!H:H,MATCH(H:H,Summary!A:A,0)),2)</f>
        <v>1.57</v>
      </c>
      <c r="U138" s="47">
        <f>ROUND(INDEX(Summary!I:I,MATCH(H:H,Summary!A:A,0)),2)</f>
        <v>0.3</v>
      </c>
      <c r="V138" s="81">
        <f t="shared" si="50"/>
        <v>5665777.4132935693</v>
      </c>
      <c r="W138" s="81">
        <f t="shared" si="50"/>
        <v>510801.17536847072</v>
      </c>
      <c r="X138" s="45">
        <f t="shared" si="51"/>
        <v>6176578.5886620404</v>
      </c>
      <c r="Y138" s="45" t="s">
        <v>2752</v>
      </c>
      <c r="Z138" s="45" t="str">
        <f t="shared" si="52"/>
        <v>No</v>
      </c>
      <c r="AA138" s="45" t="str">
        <f t="shared" si="52"/>
        <v>Yes</v>
      </c>
      <c r="AB138" s="45" t="str">
        <f t="shared" si="53"/>
        <v>Yes</v>
      </c>
      <c r="AC138" s="82">
        <f t="shared" si="54"/>
        <v>0</v>
      </c>
      <c r="AD138" s="82">
        <f t="shared" si="54"/>
        <v>0.16</v>
      </c>
      <c r="AE138" s="45">
        <f t="shared" si="55"/>
        <v>0</v>
      </c>
      <c r="AF138" s="45">
        <f t="shared" si="55"/>
        <v>272427.29352985107</v>
      </c>
      <c r="AG138" s="45">
        <f t="shared" si="56"/>
        <v>272427.29352985107</v>
      </c>
      <c r="AH138" s="47">
        <f>IFERROR(ROUNDDOWN(INDEX('90% of ACR'!K:K,MATCH(H:H,'90% of ACR'!A:A,0))*IF(I138&gt;0,IF(O138&gt;0,$R$4*MAX(O138-V138,0),0),0)/I138,2),0)</f>
        <v>0</v>
      </c>
      <c r="AI138" s="82">
        <f>IFERROR(ROUNDDOWN(INDEX('90% of ACR'!R:R,MATCH(H:H,'90% of ACR'!A:A,0))*IF(J138&gt;0,IF(P138&gt;0,$R$4*MAX(P138-W138,0),0),0)/J138,2),0)</f>
        <v>0.14000000000000001</v>
      </c>
      <c r="AJ138" s="45">
        <f t="shared" si="57"/>
        <v>0</v>
      </c>
      <c r="AK138" s="45">
        <f t="shared" si="57"/>
        <v>238373.88183861971</v>
      </c>
      <c r="AL138" s="47">
        <f t="shared" si="58"/>
        <v>1.57</v>
      </c>
      <c r="AM138" s="47">
        <f t="shared" si="58"/>
        <v>0.44</v>
      </c>
      <c r="AN138" s="83">
        <f>IFERROR(INDEX('Fee Calc'!P:P,MATCH(C138,'Fee Calc'!F:F,0)),0)</f>
        <v>6414952.4705006601</v>
      </c>
      <c r="AO138" s="83">
        <f>IFERROR(INDEX('Fee Calc'!Q:Q,MATCH(C138,'Fee Calc'!F:F,0)),0)</f>
        <v>396789.94921964849</v>
      </c>
      <c r="AP138" s="83">
        <f t="shared" si="59"/>
        <v>6811742.4197203089</v>
      </c>
      <c r="AQ138" s="70">
        <f t="shared" si="60"/>
        <v>2908831.9889780027</v>
      </c>
      <c r="AR138" s="70">
        <f t="shared" si="61"/>
        <v>1454415.9944890013</v>
      </c>
      <c r="AS138" s="70">
        <f t="shared" si="62"/>
        <v>1454415.9944890013</v>
      </c>
    </row>
    <row r="139" spans="1:45">
      <c r="A139" s="104" t="s">
        <v>1610</v>
      </c>
      <c r="B139" s="124" t="s">
        <v>1610</v>
      </c>
      <c r="C139" s="31" t="s">
        <v>1611</v>
      </c>
      <c r="D139" s="125" t="s">
        <v>1611</v>
      </c>
      <c r="E139" s="119" t="s">
        <v>2576</v>
      </c>
      <c r="F139" s="100" t="s">
        <v>2279</v>
      </c>
      <c r="G139" s="100" t="s">
        <v>300</v>
      </c>
      <c r="H139" s="43" t="str">
        <f t="shared" si="45"/>
        <v>Urban Harris</v>
      </c>
      <c r="I139" s="45">
        <f>INDEX('Fee Calc'!M:M,MATCH(C:C,'Fee Calc'!F:F,0))</f>
        <v>3828189.6649095537</v>
      </c>
      <c r="J139" s="45">
        <f>INDEX('Fee Calc'!L:L,MATCH(C:C,'Fee Calc'!F:F,0))</f>
        <v>2000515.1943850084</v>
      </c>
      <c r="K139" s="45">
        <f t="shared" si="46"/>
        <v>5828704.8592945617</v>
      </c>
      <c r="L139" s="45">
        <v>2352049.0499999998</v>
      </c>
      <c r="M139" s="45">
        <v>975434.6</v>
      </c>
      <c r="N139" s="45">
        <f t="shared" si="47"/>
        <v>3327483.65</v>
      </c>
      <c r="O139" s="45">
        <v>4138032.9432429089</v>
      </c>
      <c r="P139" s="45">
        <v>1192947.9633467104</v>
      </c>
      <c r="Q139" s="45">
        <f t="shared" si="48"/>
        <v>5330980.9065896198</v>
      </c>
      <c r="R139" s="45" t="str">
        <f t="shared" si="49"/>
        <v>Yes</v>
      </c>
      <c r="S139" s="46" t="str">
        <f t="shared" si="49"/>
        <v>Yes</v>
      </c>
      <c r="T139" s="47">
        <f>ROUND(INDEX(Summary!H:H,MATCH(H:H,Summary!A:A,0)),2)</f>
        <v>1.57</v>
      </c>
      <c r="U139" s="47">
        <f>ROUND(INDEX(Summary!I:I,MATCH(H:H,Summary!A:A,0)),2)</f>
        <v>0.3</v>
      </c>
      <c r="V139" s="81">
        <f t="shared" si="50"/>
        <v>6010257.7739079995</v>
      </c>
      <c r="W139" s="81">
        <f t="shared" si="50"/>
        <v>600154.55831550248</v>
      </c>
      <c r="X139" s="45">
        <f t="shared" si="51"/>
        <v>6610412.332223502</v>
      </c>
      <c r="Y139" s="45" t="s">
        <v>2752</v>
      </c>
      <c r="Z139" s="45" t="str">
        <f t="shared" si="52"/>
        <v>No</v>
      </c>
      <c r="AA139" s="45" t="str">
        <f t="shared" si="52"/>
        <v>Yes</v>
      </c>
      <c r="AB139" s="45" t="str">
        <f t="shared" si="53"/>
        <v>Yes</v>
      </c>
      <c r="AC139" s="82">
        <f t="shared" si="54"/>
        <v>0</v>
      </c>
      <c r="AD139" s="82">
        <f t="shared" si="54"/>
        <v>0.21</v>
      </c>
      <c r="AE139" s="45">
        <f t="shared" si="55"/>
        <v>0</v>
      </c>
      <c r="AF139" s="45">
        <f t="shared" si="55"/>
        <v>420108.19082085177</v>
      </c>
      <c r="AG139" s="45">
        <f t="shared" si="56"/>
        <v>420108.19082085177</v>
      </c>
      <c r="AH139" s="47">
        <f>IFERROR(ROUNDDOWN(INDEX('90% of ACR'!K:K,MATCH(H:H,'90% of ACR'!A:A,0))*IF(I139&gt;0,IF(O139&gt;0,$R$4*MAX(O139-V139,0),0),0)/I139,2),0)</f>
        <v>0</v>
      </c>
      <c r="AI139" s="82">
        <f>IFERROR(ROUNDDOWN(INDEX('90% of ACR'!R:R,MATCH(H:H,'90% of ACR'!A:A,0))*IF(J139&gt;0,IF(P139&gt;0,$R$4*MAX(P139-W139,0),0),0)/J139,2),0)</f>
        <v>0.19</v>
      </c>
      <c r="AJ139" s="45">
        <f t="shared" si="57"/>
        <v>0</v>
      </c>
      <c r="AK139" s="45">
        <f t="shared" si="57"/>
        <v>380097.88693315163</v>
      </c>
      <c r="AL139" s="47">
        <f t="shared" si="58"/>
        <v>1.57</v>
      </c>
      <c r="AM139" s="47">
        <f t="shared" si="58"/>
        <v>0.49</v>
      </c>
      <c r="AN139" s="83">
        <f>IFERROR(INDEX('Fee Calc'!P:P,MATCH(C139,'Fee Calc'!F:F,0)),0)</f>
        <v>6990510.2191566536</v>
      </c>
      <c r="AO139" s="83">
        <f>IFERROR(INDEX('Fee Calc'!Q:Q,MATCH(C139,'Fee Calc'!F:F,0)),0)</f>
        <v>431204.74074323103</v>
      </c>
      <c r="AP139" s="83">
        <f t="shared" si="59"/>
        <v>7421714.9598998846</v>
      </c>
      <c r="AQ139" s="70">
        <f t="shared" si="60"/>
        <v>3169309.7827559677</v>
      </c>
      <c r="AR139" s="70">
        <f t="shared" si="61"/>
        <v>1584654.8913779838</v>
      </c>
      <c r="AS139" s="70">
        <f t="shared" si="62"/>
        <v>1584654.8913779838</v>
      </c>
    </row>
    <row r="140" spans="1:45">
      <c r="A140" s="104" t="s">
        <v>419</v>
      </c>
      <c r="B140" s="124" t="s">
        <v>419</v>
      </c>
      <c r="C140" s="31" t="s">
        <v>420</v>
      </c>
      <c r="D140" s="125" t="s">
        <v>420</v>
      </c>
      <c r="E140" s="119" t="s">
        <v>2577</v>
      </c>
      <c r="F140" s="100" t="s">
        <v>2279</v>
      </c>
      <c r="G140" s="100" t="s">
        <v>300</v>
      </c>
      <c r="H140" s="43" t="str">
        <f t="shared" si="45"/>
        <v>Urban Harris</v>
      </c>
      <c r="I140" s="45">
        <f>INDEX('Fee Calc'!M:M,MATCH(C:C,'Fee Calc'!F:F,0))</f>
        <v>708199.86306796875</v>
      </c>
      <c r="J140" s="45">
        <f>INDEX('Fee Calc'!L:L,MATCH(C:C,'Fee Calc'!F:F,0))</f>
        <v>279730.31862821843</v>
      </c>
      <c r="K140" s="45">
        <f t="shared" si="46"/>
        <v>987930.18169618724</v>
      </c>
      <c r="L140" s="45">
        <v>567290.38</v>
      </c>
      <c r="M140" s="45">
        <v>518806.31</v>
      </c>
      <c r="N140" s="45">
        <f t="shared" si="47"/>
        <v>1086096.69</v>
      </c>
      <c r="O140" s="45">
        <v>873595.31672188663</v>
      </c>
      <c r="P140" s="45">
        <v>601825.12624409574</v>
      </c>
      <c r="Q140" s="45">
        <f t="shared" si="48"/>
        <v>1475420.4429659825</v>
      </c>
      <c r="R140" s="45" t="str">
        <f t="shared" si="49"/>
        <v>Yes</v>
      </c>
      <c r="S140" s="46" t="str">
        <f t="shared" si="49"/>
        <v>Yes</v>
      </c>
      <c r="T140" s="47">
        <f>ROUND(INDEX(Summary!H:H,MATCH(H:H,Summary!A:A,0)),2)</f>
        <v>1.57</v>
      </c>
      <c r="U140" s="47">
        <f>ROUND(INDEX(Summary!I:I,MATCH(H:H,Summary!A:A,0)),2)</f>
        <v>0.3</v>
      </c>
      <c r="V140" s="81">
        <f t="shared" si="50"/>
        <v>1111873.7850167109</v>
      </c>
      <c r="W140" s="81">
        <f t="shared" si="50"/>
        <v>83919.095588465527</v>
      </c>
      <c r="X140" s="45">
        <f t="shared" si="51"/>
        <v>1195792.8806051763</v>
      </c>
      <c r="Y140" s="45" t="s">
        <v>2752</v>
      </c>
      <c r="Z140" s="45" t="str">
        <f t="shared" si="52"/>
        <v>No</v>
      </c>
      <c r="AA140" s="45" t="str">
        <f t="shared" si="52"/>
        <v>Yes</v>
      </c>
      <c r="AB140" s="45" t="str">
        <f t="shared" si="53"/>
        <v>Yes</v>
      </c>
      <c r="AC140" s="82">
        <f t="shared" si="54"/>
        <v>0</v>
      </c>
      <c r="AD140" s="82">
        <f t="shared" si="54"/>
        <v>1.29</v>
      </c>
      <c r="AE140" s="45">
        <f t="shared" si="55"/>
        <v>0</v>
      </c>
      <c r="AF140" s="45">
        <f t="shared" si="55"/>
        <v>360852.11103040178</v>
      </c>
      <c r="AG140" s="45">
        <f t="shared" si="56"/>
        <v>360852.11103040178</v>
      </c>
      <c r="AH140" s="47">
        <f>IFERROR(ROUNDDOWN(INDEX('90% of ACR'!K:K,MATCH(H:H,'90% of ACR'!A:A,0))*IF(I140&gt;0,IF(O140&gt;0,$R$4*MAX(O140-V140,0),0),0)/I140,2),0)</f>
        <v>0</v>
      </c>
      <c r="AI140" s="82">
        <f>IFERROR(ROUNDDOWN(INDEX('90% of ACR'!R:R,MATCH(H:H,'90% of ACR'!A:A,0))*IF(J140&gt;0,IF(P140&gt;0,$R$4*MAX(P140-W140,0),0),0)/J140,2),0)</f>
        <v>1.2</v>
      </c>
      <c r="AJ140" s="45">
        <f t="shared" si="57"/>
        <v>0</v>
      </c>
      <c r="AK140" s="45">
        <f t="shared" si="57"/>
        <v>335676.38235386211</v>
      </c>
      <c r="AL140" s="47">
        <f t="shared" si="58"/>
        <v>1.57</v>
      </c>
      <c r="AM140" s="47">
        <f t="shared" si="58"/>
        <v>1.5</v>
      </c>
      <c r="AN140" s="83">
        <f>IFERROR(INDEX('Fee Calc'!P:P,MATCH(C140,'Fee Calc'!F:F,0)),0)</f>
        <v>1531469.2629590384</v>
      </c>
      <c r="AO140" s="83">
        <f>IFERROR(INDEX('Fee Calc'!Q:Q,MATCH(C140,'Fee Calc'!F:F,0)),0)</f>
        <v>96828.807830636462</v>
      </c>
      <c r="AP140" s="83">
        <f t="shared" si="59"/>
        <v>1628298.0707896748</v>
      </c>
      <c r="AQ140" s="70">
        <f t="shared" si="60"/>
        <v>695335.3817654564</v>
      </c>
      <c r="AR140" s="70">
        <f t="shared" si="61"/>
        <v>347667.6908827282</v>
      </c>
      <c r="AS140" s="70">
        <f t="shared" si="62"/>
        <v>347667.6908827282</v>
      </c>
    </row>
    <row r="141" spans="1:45">
      <c r="A141" s="104" t="s">
        <v>647</v>
      </c>
      <c r="B141" s="124" t="s">
        <v>647</v>
      </c>
      <c r="C141" s="31" t="s">
        <v>648</v>
      </c>
      <c r="D141" s="125" t="s">
        <v>648</v>
      </c>
      <c r="E141" s="119" t="s">
        <v>2578</v>
      </c>
      <c r="F141" s="100" t="s">
        <v>2279</v>
      </c>
      <c r="G141" s="100" t="s">
        <v>300</v>
      </c>
      <c r="H141" s="43" t="str">
        <f t="shared" si="45"/>
        <v>Urban Harris</v>
      </c>
      <c r="I141" s="45">
        <f>INDEX('Fee Calc'!M:M,MATCH(C:C,'Fee Calc'!F:F,0))</f>
        <v>959150.84061035095</v>
      </c>
      <c r="J141" s="45">
        <f>INDEX('Fee Calc'!L:L,MATCH(C:C,'Fee Calc'!F:F,0))</f>
        <v>2739322.9482942428</v>
      </c>
      <c r="K141" s="45">
        <f t="shared" si="46"/>
        <v>3698473.7889045938</v>
      </c>
      <c r="L141" s="45">
        <v>553646.46</v>
      </c>
      <c r="M141" s="45">
        <v>338805.39</v>
      </c>
      <c r="N141" s="45">
        <f t="shared" si="47"/>
        <v>892451.85</v>
      </c>
      <c r="O141" s="45">
        <v>674154.06329724542</v>
      </c>
      <c r="P141" s="45">
        <v>785876.50895472546</v>
      </c>
      <c r="Q141" s="45">
        <f t="shared" si="48"/>
        <v>1460030.5722519709</v>
      </c>
      <c r="R141" s="45" t="str">
        <f t="shared" si="49"/>
        <v>Yes</v>
      </c>
      <c r="S141" s="46" t="str">
        <f t="shared" si="49"/>
        <v>Yes</v>
      </c>
      <c r="T141" s="47">
        <f>ROUND(INDEX(Summary!H:H,MATCH(H:H,Summary!A:A,0)),2)</f>
        <v>1.57</v>
      </c>
      <c r="U141" s="47">
        <f>ROUND(INDEX(Summary!I:I,MATCH(H:H,Summary!A:A,0)),2)</f>
        <v>0.3</v>
      </c>
      <c r="V141" s="81">
        <f t="shared" si="50"/>
        <v>1505866.8197582511</v>
      </c>
      <c r="W141" s="81">
        <f t="shared" si="50"/>
        <v>821796.88448827283</v>
      </c>
      <c r="X141" s="45">
        <f t="shared" si="51"/>
        <v>2327663.7042465238</v>
      </c>
      <c r="Y141" s="45" t="s">
        <v>2752</v>
      </c>
      <c r="Z141" s="45" t="str">
        <f t="shared" si="52"/>
        <v>No</v>
      </c>
      <c r="AA141" s="45" t="str">
        <f t="shared" si="52"/>
        <v>No</v>
      </c>
      <c r="AB141" s="45" t="str">
        <f t="shared" si="53"/>
        <v>No</v>
      </c>
      <c r="AC141" s="82">
        <f t="shared" si="54"/>
        <v>0</v>
      </c>
      <c r="AD141" s="82">
        <f t="shared" si="54"/>
        <v>0</v>
      </c>
      <c r="AE141" s="45">
        <f t="shared" si="55"/>
        <v>0</v>
      </c>
      <c r="AF141" s="45">
        <f t="shared" si="55"/>
        <v>0</v>
      </c>
      <c r="AG141" s="45">
        <f t="shared" si="56"/>
        <v>0</v>
      </c>
      <c r="AH141" s="47">
        <f>IFERROR(ROUNDDOWN(INDEX('90% of ACR'!K:K,MATCH(H:H,'90% of ACR'!A:A,0))*IF(I141&gt;0,IF(O141&gt;0,$R$4*MAX(O141-V141,0),0),0)/I141,2),0)</f>
        <v>0</v>
      </c>
      <c r="AI141" s="82">
        <f>IFERROR(ROUNDDOWN(INDEX('90% of ACR'!R:R,MATCH(H:H,'90% of ACR'!A:A,0))*IF(J141&gt;0,IF(P141&gt;0,$R$4*MAX(P141-W141,0),0),0)/J141,2),0)</f>
        <v>0</v>
      </c>
      <c r="AJ141" s="45">
        <f t="shared" si="57"/>
        <v>0</v>
      </c>
      <c r="AK141" s="45">
        <f t="shared" si="57"/>
        <v>0</v>
      </c>
      <c r="AL141" s="47">
        <f t="shared" si="58"/>
        <v>1.57</v>
      </c>
      <c r="AM141" s="47">
        <f t="shared" si="58"/>
        <v>0.3</v>
      </c>
      <c r="AN141" s="83">
        <f>IFERROR(INDEX('Fee Calc'!P:P,MATCH(C141,'Fee Calc'!F:F,0)),0)</f>
        <v>2327663.7042465238</v>
      </c>
      <c r="AO141" s="83">
        <f>IFERROR(INDEX('Fee Calc'!Q:Q,MATCH(C141,'Fee Calc'!F:F,0)),0)</f>
        <v>143632.35171611531</v>
      </c>
      <c r="AP141" s="83">
        <f t="shared" si="59"/>
        <v>2471296.0559626389</v>
      </c>
      <c r="AQ141" s="70">
        <f t="shared" si="60"/>
        <v>1055322.4973698377</v>
      </c>
      <c r="AR141" s="70">
        <f t="shared" si="61"/>
        <v>527661.24868491886</v>
      </c>
      <c r="AS141" s="70">
        <f t="shared" si="62"/>
        <v>527661.24868491886</v>
      </c>
    </row>
    <row r="142" spans="1:45">
      <c r="A142" s="104" t="s">
        <v>853</v>
      </c>
      <c r="B142" s="124" t="s">
        <v>853</v>
      </c>
      <c r="C142" s="31" t="s">
        <v>854</v>
      </c>
      <c r="D142" s="125" t="s">
        <v>854</v>
      </c>
      <c r="E142" s="119" t="s">
        <v>2579</v>
      </c>
      <c r="F142" s="100" t="s">
        <v>2291</v>
      </c>
      <c r="G142" s="100" t="s">
        <v>310</v>
      </c>
      <c r="H142" s="43" t="str">
        <f t="shared" si="45"/>
        <v>Rural MRSA Northeast</v>
      </c>
      <c r="I142" s="45">
        <f>INDEX('Fee Calc'!M:M,MATCH(C:C,'Fee Calc'!F:F,0))</f>
        <v>4914980.1694453526</v>
      </c>
      <c r="J142" s="45">
        <f>INDEX('Fee Calc'!L:L,MATCH(C:C,'Fee Calc'!F:F,0))</f>
        <v>3077632.349187748</v>
      </c>
      <c r="K142" s="45">
        <f t="shared" si="46"/>
        <v>7992612.5186331011</v>
      </c>
      <c r="L142" s="45">
        <v>-1742857.73</v>
      </c>
      <c r="M142" s="45">
        <v>2168276.56</v>
      </c>
      <c r="N142" s="45">
        <f t="shared" si="47"/>
        <v>425418.83000000007</v>
      </c>
      <c r="O142" s="45">
        <v>560569.52392039075</v>
      </c>
      <c r="P142" s="45">
        <v>3747558.9271350708</v>
      </c>
      <c r="Q142" s="45">
        <f t="shared" si="48"/>
        <v>4308128.4510554615</v>
      </c>
      <c r="R142" s="45" t="str">
        <f t="shared" si="49"/>
        <v>Yes</v>
      </c>
      <c r="S142" s="46" t="str">
        <f t="shared" si="49"/>
        <v>Yes</v>
      </c>
      <c r="T142" s="47">
        <f>ROUND(INDEX(Summary!H:H,MATCH(H:H,Summary!A:A,0)),2)</f>
        <v>0</v>
      </c>
      <c r="U142" s="47">
        <f>ROUND(INDEX(Summary!I:I,MATCH(H:H,Summary!A:A,0)),2)</f>
        <v>0.3</v>
      </c>
      <c r="V142" s="81">
        <f t="shared" si="50"/>
        <v>0</v>
      </c>
      <c r="W142" s="81">
        <f t="shared" si="50"/>
        <v>923289.70475632441</v>
      </c>
      <c r="X142" s="45">
        <f t="shared" si="51"/>
        <v>923289.70475632441</v>
      </c>
      <c r="Y142" s="45" t="s">
        <v>2752</v>
      </c>
      <c r="Z142" s="45" t="str">
        <f t="shared" si="52"/>
        <v>Yes</v>
      </c>
      <c r="AA142" s="45" t="str">
        <f t="shared" si="52"/>
        <v>Yes</v>
      </c>
      <c r="AB142" s="45" t="str">
        <f t="shared" si="53"/>
        <v>Yes</v>
      </c>
      <c r="AC142" s="82">
        <f t="shared" si="54"/>
        <v>0.08</v>
      </c>
      <c r="AD142" s="82">
        <f t="shared" si="54"/>
        <v>0.64</v>
      </c>
      <c r="AE142" s="45">
        <f t="shared" si="55"/>
        <v>393198.41355562821</v>
      </c>
      <c r="AF142" s="45">
        <f t="shared" si="55"/>
        <v>1969684.7034801587</v>
      </c>
      <c r="AG142" s="45">
        <f t="shared" si="56"/>
        <v>2362883.1170357871</v>
      </c>
      <c r="AH142" s="47">
        <f>IFERROR(ROUNDDOWN(INDEX('90% of ACR'!K:K,MATCH(H:H,'90% of ACR'!A:A,0))*IF(I142&gt;0,IF(O142&gt;0,$R$4*MAX(O142-V142,0),0),0)/I142,2),0)</f>
        <v>0.05</v>
      </c>
      <c r="AI142" s="82">
        <f>IFERROR(ROUNDDOWN(INDEX('90% of ACR'!R:R,MATCH(H:H,'90% of ACR'!A:A,0))*IF(J142&gt;0,IF(P142&gt;0,$R$4*MAX(P142-W142,0),0),0)/J142,2),0)</f>
        <v>0.63</v>
      </c>
      <c r="AJ142" s="45">
        <f t="shared" si="57"/>
        <v>245749.00847226765</v>
      </c>
      <c r="AK142" s="45">
        <f t="shared" si="57"/>
        <v>1938908.3799882813</v>
      </c>
      <c r="AL142" s="47">
        <f t="shared" si="58"/>
        <v>0.05</v>
      </c>
      <c r="AM142" s="47">
        <f t="shared" si="58"/>
        <v>0.92999999999999994</v>
      </c>
      <c r="AN142" s="83">
        <f>IFERROR(INDEX('Fee Calc'!P:P,MATCH(C142,'Fee Calc'!F:F,0)),0)</f>
        <v>3107947.0932168732</v>
      </c>
      <c r="AO142" s="83">
        <f>IFERROR(INDEX('Fee Calc'!Q:Q,MATCH(C142,'Fee Calc'!F:F,0)),0)</f>
        <v>191499.49969170039</v>
      </c>
      <c r="AP142" s="83">
        <f t="shared" si="59"/>
        <v>3299446.5929085738</v>
      </c>
      <c r="AQ142" s="70">
        <f t="shared" si="60"/>
        <v>1408969.2774629339</v>
      </c>
      <c r="AR142" s="70">
        <f t="shared" si="61"/>
        <v>704484.63873146696</v>
      </c>
      <c r="AS142" s="70">
        <f t="shared" si="62"/>
        <v>704484.63873146696</v>
      </c>
    </row>
    <row r="143" spans="1:45">
      <c r="A143" s="104" t="s">
        <v>847</v>
      </c>
      <c r="B143" s="124" t="s">
        <v>847</v>
      </c>
      <c r="C143" s="31" t="s">
        <v>848</v>
      </c>
      <c r="D143" s="125" t="s">
        <v>848</v>
      </c>
      <c r="E143" s="119" t="s">
        <v>2840</v>
      </c>
      <c r="F143" s="100" t="s">
        <v>2291</v>
      </c>
      <c r="G143" s="100" t="s">
        <v>1550</v>
      </c>
      <c r="H143" s="43" t="str">
        <f t="shared" si="45"/>
        <v>Rural Jefferson</v>
      </c>
      <c r="I143" s="45">
        <f>INDEX('Fee Calc'!M:M,MATCH(C:C,'Fee Calc'!F:F,0))</f>
        <v>6050550.7314177137</v>
      </c>
      <c r="J143" s="45">
        <f>INDEX('Fee Calc'!L:L,MATCH(C:C,'Fee Calc'!F:F,0))</f>
        <v>2645924.6668794472</v>
      </c>
      <c r="K143" s="45">
        <f t="shared" si="46"/>
        <v>8696475.3982971609</v>
      </c>
      <c r="L143" s="45">
        <v>-1068586.6200000001</v>
      </c>
      <c r="M143" s="45">
        <v>1039759.75</v>
      </c>
      <c r="N143" s="45">
        <f t="shared" si="47"/>
        <v>-28826.870000000112</v>
      </c>
      <c r="O143" s="45">
        <v>-863537.95437114267</v>
      </c>
      <c r="P143" s="45">
        <v>2972399.1738147885</v>
      </c>
      <c r="Q143" s="45">
        <f t="shared" si="48"/>
        <v>2108861.2194436458</v>
      </c>
      <c r="R143" s="45" t="str">
        <f t="shared" si="49"/>
        <v>No</v>
      </c>
      <c r="S143" s="46" t="str">
        <f t="shared" si="49"/>
        <v>Yes</v>
      </c>
      <c r="T143" s="47">
        <f>ROUND(INDEX(Summary!H:H,MATCH(H:H,Summary!A:A,0)),2)</f>
        <v>0</v>
      </c>
      <c r="U143" s="47">
        <f>ROUND(INDEX(Summary!I:I,MATCH(H:H,Summary!A:A,0)),2)</f>
        <v>0.22</v>
      </c>
      <c r="V143" s="81">
        <f t="shared" si="50"/>
        <v>0</v>
      </c>
      <c r="W143" s="81">
        <f t="shared" si="50"/>
        <v>582103.4267134784</v>
      </c>
      <c r="X143" s="45">
        <f t="shared" si="51"/>
        <v>582103.4267134784</v>
      </c>
      <c r="Y143" s="45" t="s">
        <v>2752</v>
      </c>
      <c r="Z143" s="45" t="str">
        <f t="shared" si="52"/>
        <v>No</v>
      </c>
      <c r="AA143" s="45" t="str">
        <f t="shared" si="52"/>
        <v>Yes</v>
      </c>
      <c r="AB143" s="45" t="str">
        <f t="shared" si="53"/>
        <v>Yes</v>
      </c>
      <c r="AC143" s="82">
        <f t="shared" si="54"/>
        <v>0</v>
      </c>
      <c r="AD143" s="82">
        <f t="shared" si="54"/>
        <v>0.63</v>
      </c>
      <c r="AE143" s="45">
        <f t="shared" si="55"/>
        <v>0</v>
      </c>
      <c r="AF143" s="45">
        <f t="shared" si="55"/>
        <v>1666932.5401340518</v>
      </c>
      <c r="AG143" s="45">
        <f t="shared" si="56"/>
        <v>1666932.5401340518</v>
      </c>
      <c r="AH143" s="47">
        <f>IFERROR(ROUNDDOWN(INDEX('90% of ACR'!K:K,MATCH(H:H,'90% of ACR'!A:A,0))*IF(I143&gt;0,IF(O143&gt;0,$R$4*MAX(O143-V143,0),0),0)/I143,2),0)</f>
        <v>0</v>
      </c>
      <c r="AI143" s="82">
        <f>IFERROR(ROUNDDOWN(INDEX('90% of ACR'!R:R,MATCH(H:H,'90% of ACR'!A:A,0))*IF(J143&gt;0,IF(P143&gt;0,$R$4*MAX(P143-W143,0),0),0)/J143,2),0)</f>
        <v>0.62</v>
      </c>
      <c r="AJ143" s="45">
        <f t="shared" si="57"/>
        <v>0</v>
      </c>
      <c r="AK143" s="45">
        <f t="shared" si="57"/>
        <v>1640473.2934652572</v>
      </c>
      <c r="AL143" s="47">
        <f t="shared" si="58"/>
        <v>0</v>
      </c>
      <c r="AM143" s="47">
        <f t="shared" si="58"/>
        <v>0.84</v>
      </c>
      <c r="AN143" s="83">
        <f>IFERROR(INDEX('Fee Calc'!P:P,MATCH(C143,'Fee Calc'!F:F,0)),0)</f>
        <v>2222576.7201787354</v>
      </c>
      <c r="AO143" s="83">
        <f>IFERROR(INDEX('Fee Calc'!Q:Q,MATCH(C143,'Fee Calc'!F:F,0)),0)</f>
        <v>137052.72655973444</v>
      </c>
      <c r="AP143" s="83">
        <f t="shared" si="59"/>
        <v>2359629.4467384699</v>
      </c>
      <c r="AQ143" s="70">
        <f t="shared" si="60"/>
        <v>1007637.2818996222</v>
      </c>
      <c r="AR143" s="70">
        <f t="shared" si="61"/>
        <v>503818.64094981109</v>
      </c>
      <c r="AS143" s="70">
        <f t="shared" si="62"/>
        <v>503818.64094981109</v>
      </c>
    </row>
    <row r="144" spans="1:45">
      <c r="A144" s="104" t="s">
        <v>856</v>
      </c>
      <c r="B144" s="124" t="s">
        <v>856</v>
      </c>
      <c r="C144" s="31" t="s">
        <v>857</v>
      </c>
      <c r="D144" s="125" t="s">
        <v>857</v>
      </c>
      <c r="E144" s="119" t="s">
        <v>2580</v>
      </c>
      <c r="F144" s="100" t="s">
        <v>2291</v>
      </c>
      <c r="G144" s="100" t="s">
        <v>310</v>
      </c>
      <c r="H144" s="43" t="str">
        <f t="shared" si="45"/>
        <v>Rural MRSA Northeast</v>
      </c>
      <c r="I144" s="45">
        <f>INDEX('Fee Calc'!M:M,MATCH(C:C,'Fee Calc'!F:F,0))</f>
        <v>436175.94671394362</v>
      </c>
      <c r="J144" s="45">
        <f>INDEX('Fee Calc'!L:L,MATCH(C:C,'Fee Calc'!F:F,0))</f>
        <v>0</v>
      </c>
      <c r="K144" s="45">
        <f t="shared" si="46"/>
        <v>436175.94671394362</v>
      </c>
      <c r="L144" s="45">
        <v>24510.7</v>
      </c>
      <c r="M144" s="45">
        <v>-69.19</v>
      </c>
      <c r="N144" s="45">
        <f t="shared" si="47"/>
        <v>24441.510000000002</v>
      </c>
      <c r="O144" s="45">
        <v>-12691.582636375337</v>
      </c>
      <c r="P144" s="45">
        <v>538.94149863417783</v>
      </c>
      <c r="Q144" s="45">
        <f t="shared" si="48"/>
        <v>-12152.641137741159</v>
      </c>
      <c r="R144" s="45" t="str">
        <f t="shared" si="49"/>
        <v>No</v>
      </c>
      <c r="S144" s="46" t="str">
        <f t="shared" si="49"/>
        <v>Yes</v>
      </c>
      <c r="T144" s="47">
        <f>ROUND(INDEX(Summary!H:H,MATCH(H:H,Summary!A:A,0)),2)</f>
        <v>0</v>
      </c>
      <c r="U144" s="47">
        <f>ROUND(INDEX(Summary!I:I,MATCH(H:H,Summary!A:A,0)),2)</f>
        <v>0.3</v>
      </c>
      <c r="V144" s="81">
        <f t="shared" si="50"/>
        <v>0</v>
      </c>
      <c r="W144" s="81">
        <f t="shared" si="50"/>
        <v>0</v>
      </c>
      <c r="X144" s="45">
        <f t="shared" si="51"/>
        <v>0</v>
      </c>
      <c r="Y144" s="45" t="s">
        <v>2752</v>
      </c>
      <c r="Z144" s="45" t="str">
        <f t="shared" si="52"/>
        <v>No</v>
      </c>
      <c r="AA144" s="45" t="str">
        <f t="shared" si="52"/>
        <v>No</v>
      </c>
      <c r="AB144" s="45" t="str">
        <f t="shared" si="53"/>
        <v>No</v>
      </c>
      <c r="AC144" s="82">
        <f t="shared" si="54"/>
        <v>0</v>
      </c>
      <c r="AD144" s="82">
        <f t="shared" si="54"/>
        <v>0</v>
      </c>
      <c r="AE144" s="45">
        <f t="shared" si="55"/>
        <v>0</v>
      </c>
      <c r="AF144" s="45">
        <f t="shared" si="55"/>
        <v>0</v>
      </c>
      <c r="AG144" s="45">
        <f t="shared" si="56"/>
        <v>0</v>
      </c>
      <c r="AH144" s="47">
        <f>IFERROR(ROUNDDOWN(INDEX('90% of ACR'!K:K,MATCH(H:H,'90% of ACR'!A:A,0))*IF(I144&gt;0,IF(O144&gt;0,$R$4*MAX(O144-V144,0),0),0)/I144,2),0)</f>
        <v>0</v>
      </c>
      <c r="AI144" s="82">
        <f>IFERROR(ROUNDDOWN(INDEX('90% of ACR'!R:R,MATCH(H:H,'90% of ACR'!A:A,0))*IF(J144&gt;0,IF(P144&gt;0,$R$4*MAX(P144-W144,0),0),0)/J144,2),0)</f>
        <v>0</v>
      </c>
      <c r="AJ144" s="45">
        <f t="shared" si="57"/>
        <v>0</v>
      </c>
      <c r="AK144" s="45">
        <f t="shared" si="57"/>
        <v>0</v>
      </c>
      <c r="AL144" s="47">
        <f t="shared" si="58"/>
        <v>0</v>
      </c>
      <c r="AM144" s="47">
        <f t="shared" si="58"/>
        <v>0.3</v>
      </c>
      <c r="AN144" s="83">
        <f>IFERROR(INDEX('Fee Calc'!P:P,MATCH(C144,'Fee Calc'!F:F,0)),0)</f>
        <v>0</v>
      </c>
      <c r="AO144" s="83">
        <f>IFERROR(INDEX('Fee Calc'!Q:Q,MATCH(C144,'Fee Calc'!F:F,0)),0)</f>
        <v>0</v>
      </c>
      <c r="AP144" s="83">
        <f t="shared" si="59"/>
        <v>0</v>
      </c>
      <c r="AQ144" s="70">
        <f t="shared" si="60"/>
        <v>0</v>
      </c>
      <c r="AR144" s="70">
        <f t="shared" si="61"/>
        <v>0</v>
      </c>
      <c r="AS144" s="70">
        <f t="shared" si="62"/>
        <v>0</v>
      </c>
    </row>
    <row r="145" spans="1:45">
      <c r="A145" s="104" t="s">
        <v>725</v>
      </c>
      <c r="B145" s="124" t="s">
        <v>725</v>
      </c>
      <c r="C145" s="31" t="s">
        <v>726</v>
      </c>
      <c r="D145" s="125" t="s">
        <v>726</v>
      </c>
      <c r="E145" s="119" t="s">
        <v>2582</v>
      </c>
      <c r="F145" s="100" t="s">
        <v>2291</v>
      </c>
      <c r="G145" s="100" t="s">
        <v>1486</v>
      </c>
      <c r="H145" s="43" t="str">
        <f t="shared" si="45"/>
        <v>Rural MRSA Central</v>
      </c>
      <c r="I145" s="45">
        <f>INDEX('Fee Calc'!M:M,MATCH(C:C,'Fee Calc'!F:F,0))</f>
        <v>7049.2175481567374</v>
      </c>
      <c r="J145" s="45">
        <f>INDEX('Fee Calc'!L:L,MATCH(C:C,'Fee Calc'!F:F,0))</f>
        <v>828329.40780428413</v>
      </c>
      <c r="K145" s="45">
        <f t="shared" si="46"/>
        <v>835378.62535244087</v>
      </c>
      <c r="L145" s="45">
        <v>9259.92</v>
      </c>
      <c r="M145" s="45">
        <v>-50175.7</v>
      </c>
      <c r="N145" s="45">
        <f t="shared" si="47"/>
        <v>-40915.78</v>
      </c>
      <c r="O145" s="45">
        <v>6663.4017413207275</v>
      </c>
      <c r="P145" s="45">
        <v>180392.3239161176</v>
      </c>
      <c r="Q145" s="45">
        <f t="shared" si="48"/>
        <v>187055.72565743834</v>
      </c>
      <c r="R145" s="45" t="str">
        <f t="shared" si="49"/>
        <v>Yes</v>
      </c>
      <c r="S145" s="46" t="str">
        <f t="shared" si="49"/>
        <v>Yes</v>
      </c>
      <c r="T145" s="47">
        <f>ROUND(INDEX(Summary!H:H,MATCH(H:H,Summary!A:A,0)),2)</f>
        <v>0.09</v>
      </c>
      <c r="U145" s="47">
        <f>ROUND(INDEX(Summary!I:I,MATCH(H:H,Summary!A:A,0)),2)</f>
        <v>0.09</v>
      </c>
      <c r="V145" s="81">
        <f t="shared" si="50"/>
        <v>634.42957933410639</v>
      </c>
      <c r="W145" s="81">
        <f t="shared" si="50"/>
        <v>74549.646702385566</v>
      </c>
      <c r="X145" s="45">
        <f t="shared" si="51"/>
        <v>75184.076281719666</v>
      </c>
      <c r="Y145" s="45" t="s">
        <v>2752</v>
      </c>
      <c r="Z145" s="45" t="str">
        <f t="shared" si="52"/>
        <v>Yes</v>
      </c>
      <c r="AA145" s="45" t="str">
        <f t="shared" si="52"/>
        <v>Yes</v>
      </c>
      <c r="AB145" s="45" t="str">
        <f t="shared" si="53"/>
        <v>Yes</v>
      </c>
      <c r="AC145" s="82">
        <f t="shared" si="54"/>
        <v>0.6</v>
      </c>
      <c r="AD145" s="82">
        <f t="shared" si="54"/>
        <v>0.09</v>
      </c>
      <c r="AE145" s="45">
        <f t="shared" si="55"/>
        <v>4229.5305288940426</v>
      </c>
      <c r="AF145" s="45">
        <f t="shared" si="55"/>
        <v>74549.646702385566</v>
      </c>
      <c r="AG145" s="45">
        <f t="shared" si="56"/>
        <v>78779.177231279609</v>
      </c>
      <c r="AH145" s="47">
        <f>IFERROR(ROUNDDOWN(INDEX('90% of ACR'!K:K,MATCH(H:H,'90% of ACR'!A:A,0))*IF(I145&gt;0,IF(O145&gt;0,$R$4*MAX(O145-V145,0),0),0)/I145,2),0)</f>
        <v>0.3</v>
      </c>
      <c r="AI145" s="82">
        <f>IFERROR(ROUNDDOWN(INDEX('90% of ACR'!R:R,MATCH(H:H,'90% of ACR'!A:A,0))*IF(J145&gt;0,IF(P145&gt;0,$R$4*MAX(P145-W145,0),0),0)/J145,2),0)</f>
        <v>0.08</v>
      </c>
      <c r="AJ145" s="45">
        <f t="shared" si="57"/>
        <v>2114.7652644470213</v>
      </c>
      <c r="AK145" s="45">
        <f t="shared" si="57"/>
        <v>66266.352624342733</v>
      </c>
      <c r="AL145" s="47">
        <f t="shared" si="58"/>
        <v>0.39</v>
      </c>
      <c r="AM145" s="47">
        <f t="shared" si="58"/>
        <v>0.16999999999999998</v>
      </c>
      <c r="AN145" s="83">
        <f>IFERROR(INDEX('Fee Calc'!P:P,MATCH(C145,'Fee Calc'!F:F,0)),0)</f>
        <v>143565.19417050941</v>
      </c>
      <c r="AO145" s="83">
        <f>IFERROR(INDEX('Fee Calc'!Q:Q,MATCH(C145,'Fee Calc'!F:F,0)),0)</f>
        <v>8856.1017314333803</v>
      </c>
      <c r="AP145" s="83">
        <f t="shared" si="59"/>
        <v>152421.29590194279</v>
      </c>
      <c r="AQ145" s="70">
        <f t="shared" si="60"/>
        <v>65088.770831598435</v>
      </c>
      <c r="AR145" s="70">
        <f t="shared" si="61"/>
        <v>32544.385415799217</v>
      </c>
      <c r="AS145" s="70">
        <f t="shared" si="62"/>
        <v>32544.385415799217</v>
      </c>
    </row>
    <row r="146" spans="1:45">
      <c r="A146" s="104" t="s">
        <v>816</v>
      </c>
      <c r="B146" s="124" t="s">
        <v>816</v>
      </c>
      <c r="C146" s="31" t="s">
        <v>817</v>
      </c>
      <c r="D146" s="125" t="s">
        <v>817</v>
      </c>
      <c r="E146" s="119" t="s">
        <v>2841</v>
      </c>
      <c r="F146" s="100" t="s">
        <v>2291</v>
      </c>
      <c r="G146" s="100" t="s">
        <v>1486</v>
      </c>
      <c r="H146" s="43" t="str">
        <f t="shared" si="45"/>
        <v>Rural MRSA Central</v>
      </c>
      <c r="I146" s="45">
        <f>INDEX('Fee Calc'!M:M,MATCH(C:C,'Fee Calc'!F:F,0))</f>
        <v>11988.668507465283</v>
      </c>
      <c r="J146" s="45">
        <f>INDEX('Fee Calc'!L:L,MATCH(C:C,'Fee Calc'!F:F,0))</f>
        <v>822551.76024624426</v>
      </c>
      <c r="K146" s="45">
        <f t="shared" si="46"/>
        <v>834540.42875370954</v>
      </c>
      <c r="L146" s="45">
        <v>0</v>
      </c>
      <c r="M146" s="45">
        <v>-227916.9</v>
      </c>
      <c r="N146" s="45">
        <f t="shared" si="47"/>
        <v>-227916.9</v>
      </c>
      <c r="O146" s="45">
        <v>0</v>
      </c>
      <c r="P146" s="45">
        <v>432588.98441969516</v>
      </c>
      <c r="Q146" s="45">
        <f t="shared" si="48"/>
        <v>432588.98441969516</v>
      </c>
      <c r="R146" s="45" t="str">
        <f t="shared" si="49"/>
        <v>No</v>
      </c>
      <c r="S146" s="46" t="str">
        <f t="shared" si="49"/>
        <v>Yes</v>
      </c>
      <c r="T146" s="47">
        <f>ROUND(INDEX(Summary!H:H,MATCH(H:H,Summary!A:A,0)),2)</f>
        <v>0.09</v>
      </c>
      <c r="U146" s="47">
        <f>ROUND(INDEX(Summary!I:I,MATCH(H:H,Summary!A:A,0)),2)</f>
        <v>0.09</v>
      </c>
      <c r="V146" s="81">
        <f t="shared" si="50"/>
        <v>1078.9801656718755</v>
      </c>
      <c r="W146" s="81">
        <f t="shared" si="50"/>
        <v>74029.658422161985</v>
      </c>
      <c r="X146" s="45">
        <f t="shared" si="51"/>
        <v>75108.638587833862</v>
      </c>
      <c r="Y146" s="45" t="s">
        <v>2752</v>
      </c>
      <c r="Z146" s="45" t="str">
        <f t="shared" si="52"/>
        <v>No</v>
      </c>
      <c r="AA146" s="45" t="str">
        <f t="shared" si="52"/>
        <v>Yes</v>
      </c>
      <c r="AB146" s="45" t="str">
        <f t="shared" si="53"/>
        <v>Yes</v>
      </c>
      <c r="AC146" s="82">
        <f t="shared" si="54"/>
        <v>0</v>
      </c>
      <c r="AD146" s="82">
        <f t="shared" si="54"/>
        <v>0.3</v>
      </c>
      <c r="AE146" s="45">
        <f t="shared" si="55"/>
        <v>0</v>
      </c>
      <c r="AF146" s="45">
        <f t="shared" si="55"/>
        <v>246765.52807387325</v>
      </c>
      <c r="AG146" s="45">
        <f t="shared" si="56"/>
        <v>246765.52807387325</v>
      </c>
      <c r="AH146" s="47">
        <f>IFERROR(ROUNDDOWN(INDEX('90% of ACR'!K:K,MATCH(H:H,'90% of ACR'!A:A,0))*IF(I146&gt;0,IF(O146&gt;0,$R$4*MAX(O146-V146,0),0),0)/I146,2),0)</f>
        <v>0</v>
      </c>
      <c r="AI146" s="82">
        <f>IFERROR(ROUNDDOWN(INDEX('90% of ACR'!R:R,MATCH(H:H,'90% of ACR'!A:A,0))*IF(J146&gt;0,IF(P146&gt;0,$R$4*MAX(P146-W146,0),0),0)/J146,2),0)</f>
        <v>0.3</v>
      </c>
      <c r="AJ146" s="45">
        <f t="shared" si="57"/>
        <v>0</v>
      </c>
      <c r="AK146" s="45">
        <f t="shared" si="57"/>
        <v>246765.52807387325</v>
      </c>
      <c r="AL146" s="47">
        <f t="shared" si="58"/>
        <v>0.09</v>
      </c>
      <c r="AM146" s="47">
        <f t="shared" si="58"/>
        <v>0.39</v>
      </c>
      <c r="AN146" s="83">
        <f>IFERROR(INDEX('Fee Calc'!P:P,MATCH(C146,'Fee Calc'!F:F,0)),0)</f>
        <v>321874.1666617071</v>
      </c>
      <c r="AO146" s="83">
        <f>IFERROR(INDEX('Fee Calc'!Q:Q,MATCH(C146,'Fee Calc'!F:F,0)),0)</f>
        <v>19817.105664827744</v>
      </c>
      <c r="AP146" s="83">
        <f t="shared" si="59"/>
        <v>341691.27232653485</v>
      </c>
      <c r="AQ146" s="70">
        <f t="shared" si="60"/>
        <v>145913.10740414483</v>
      </c>
      <c r="AR146" s="70">
        <f t="shared" si="61"/>
        <v>72956.553702072415</v>
      </c>
      <c r="AS146" s="70">
        <f t="shared" si="62"/>
        <v>72956.553702072415</v>
      </c>
    </row>
    <row r="147" spans="1:45">
      <c r="A147" s="104" t="s">
        <v>542</v>
      </c>
      <c r="B147" s="124" t="s">
        <v>542</v>
      </c>
      <c r="C147" s="31" t="s">
        <v>543</v>
      </c>
      <c r="D147" s="125" t="s">
        <v>543</v>
      </c>
      <c r="E147" s="119" t="s">
        <v>2583</v>
      </c>
      <c r="F147" s="100" t="s">
        <v>2291</v>
      </c>
      <c r="G147" s="100" t="s">
        <v>1486</v>
      </c>
      <c r="H147" s="43" t="str">
        <f t="shared" si="45"/>
        <v>Rural MRSA Central</v>
      </c>
      <c r="I147" s="45">
        <f>INDEX('Fee Calc'!M:M,MATCH(C:C,'Fee Calc'!F:F,0))</f>
        <v>46361.255027918247</v>
      </c>
      <c r="J147" s="45">
        <f>INDEX('Fee Calc'!L:L,MATCH(C:C,'Fee Calc'!F:F,0))</f>
        <v>525684.30032743898</v>
      </c>
      <c r="K147" s="45">
        <f t="shared" si="46"/>
        <v>572045.55535535724</v>
      </c>
      <c r="L147" s="45">
        <v>31447.16</v>
      </c>
      <c r="M147" s="45">
        <v>-53893.64</v>
      </c>
      <c r="N147" s="45">
        <f t="shared" si="47"/>
        <v>-22446.48</v>
      </c>
      <c r="O147" s="45">
        <v>16613.323420616915</v>
      </c>
      <c r="P147" s="45">
        <v>247684.09157255746</v>
      </c>
      <c r="Q147" s="45">
        <f t="shared" si="48"/>
        <v>264297.41499317437</v>
      </c>
      <c r="R147" s="45" t="str">
        <f t="shared" si="49"/>
        <v>Yes</v>
      </c>
      <c r="S147" s="46" t="str">
        <f t="shared" si="49"/>
        <v>Yes</v>
      </c>
      <c r="T147" s="47">
        <f>ROUND(INDEX(Summary!H:H,MATCH(H:H,Summary!A:A,0)),2)</f>
        <v>0.09</v>
      </c>
      <c r="U147" s="47">
        <f>ROUND(INDEX(Summary!I:I,MATCH(H:H,Summary!A:A,0)),2)</f>
        <v>0.09</v>
      </c>
      <c r="V147" s="81">
        <f t="shared" si="50"/>
        <v>4172.5129525126422</v>
      </c>
      <c r="W147" s="81">
        <f t="shared" si="50"/>
        <v>47311.587029469505</v>
      </c>
      <c r="X147" s="45">
        <f t="shared" si="51"/>
        <v>51484.099981982145</v>
      </c>
      <c r="Y147" s="45" t="s">
        <v>2752</v>
      </c>
      <c r="Z147" s="45" t="str">
        <f t="shared" si="52"/>
        <v>Yes</v>
      </c>
      <c r="AA147" s="45" t="str">
        <f t="shared" si="52"/>
        <v>Yes</v>
      </c>
      <c r="AB147" s="45" t="str">
        <f t="shared" si="53"/>
        <v>Yes</v>
      </c>
      <c r="AC147" s="82">
        <f t="shared" si="54"/>
        <v>0.19</v>
      </c>
      <c r="AD147" s="82">
        <f t="shared" si="54"/>
        <v>0.27</v>
      </c>
      <c r="AE147" s="45">
        <f t="shared" si="55"/>
        <v>8808.6384553044663</v>
      </c>
      <c r="AF147" s="45">
        <f t="shared" si="55"/>
        <v>141934.76108840853</v>
      </c>
      <c r="AG147" s="45">
        <f t="shared" si="56"/>
        <v>150743.39954371299</v>
      </c>
      <c r="AH147" s="47">
        <f>IFERROR(ROUNDDOWN(INDEX('90% of ACR'!K:K,MATCH(H:H,'90% of ACR'!A:A,0))*IF(I147&gt;0,IF(O147&gt;0,$R$4*MAX(O147-V147,0),0),0)/I147,2),0)</f>
        <v>0.09</v>
      </c>
      <c r="AI147" s="82">
        <f>IFERROR(ROUNDDOWN(INDEX('90% of ACR'!R:R,MATCH(H:H,'90% of ACR'!A:A,0))*IF(J147&gt;0,IF(P147&gt;0,$R$4*MAX(P147-W147,0),0),0)/J147,2),0)</f>
        <v>0.26</v>
      </c>
      <c r="AJ147" s="45">
        <f t="shared" si="57"/>
        <v>4172.5129525126422</v>
      </c>
      <c r="AK147" s="45">
        <f t="shared" si="57"/>
        <v>136677.91808513415</v>
      </c>
      <c r="AL147" s="47">
        <f t="shared" si="58"/>
        <v>0.18</v>
      </c>
      <c r="AM147" s="47">
        <f t="shared" si="58"/>
        <v>0.35</v>
      </c>
      <c r="AN147" s="83">
        <f>IFERROR(INDEX('Fee Calc'!P:P,MATCH(C147,'Fee Calc'!F:F,0)),0)</f>
        <v>192334.53101962892</v>
      </c>
      <c r="AO147" s="83">
        <f>IFERROR(INDEX('Fee Calc'!Q:Q,MATCH(C147,'Fee Calc'!F:F,0)),0)</f>
        <v>11918.081239017221</v>
      </c>
      <c r="AP147" s="83">
        <f t="shared" si="59"/>
        <v>204252.61225864614</v>
      </c>
      <c r="AQ147" s="70">
        <f t="shared" si="60"/>
        <v>87222.401518034181</v>
      </c>
      <c r="AR147" s="70">
        <f t="shared" si="61"/>
        <v>43611.200759017091</v>
      </c>
      <c r="AS147" s="70">
        <f t="shared" si="62"/>
        <v>43611.200759017091</v>
      </c>
    </row>
    <row r="148" spans="1:45">
      <c r="A148" s="104" t="s">
        <v>524</v>
      </c>
      <c r="B148" s="124" t="s">
        <v>524</v>
      </c>
      <c r="C148" s="31" t="s">
        <v>525</v>
      </c>
      <c r="D148" s="125" t="s">
        <v>525</v>
      </c>
      <c r="E148" s="119" t="s">
        <v>2342</v>
      </c>
      <c r="F148" s="100" t="s">
        <v>2279</v>
      </c>
      <c r="G148" s="100" t="s">
        <v>223</v>
      </c>
      <c r="H148" s="43" t="str">
        <f t="shared" si="45"/>
        <v>Urban Dallas</v>
      </c>
      <c r="I148" s="45">
        <f>INDEX('Fee Calc'!M:M,MATCH(C:C,'Fee Calc'!F:F,0))</f>
        <v>26636056.007441893</v>
      </c>
      <c r="J148" s="45">
        <f>INDEX('Fee Calc'!L:L,MATCH(C:C,'Fee Calc'!F:F,0))</f>
        <v>5105046.0059307031</v>
      </c>
      <c r="K148" s="45">
        <f t="shared" si="46"/>
        <v>31741102.013372596</v>
      </c>
      <c r="L148" s="45">
        <v>17568361.719999999</v>
      </c>
      <c r="M148" s="45">
        <v>4286264.9800000004</v>
      </c>
      <c r="N148" s="45">
        <f t="shared" si="47"/>
        <v>21854626.699999999</v>
      </c>
      <c r="O148" s="45">
        <v>43437527.894497618</v>
      </c>
      <c r="P148" s="45">
        <v>6863393.3730972577</v>
      </c>
      <c r="Q148" s="45">
        <f t="shared" si="48"/>
        <v>50300921.267594874</v>
      </c>
      <c r="R148" s="45" t="str">
        <f t="shared" si="49"/>
        <v>Yes</v>
      </c>
      <c r="S148" s="46" t="str">
        <f t="shared" si="49"/>
        <v>Yes</v>
      </c>
      <c r="T148" s="47">
        <f>ROUND(INDEX(Summary!H:H,MATCH(H:H,Summary!A:A,0)),2)</f>
        <v>0.54</v>
      </c>
      <c r="U148" s="47">
        <f>ROUND(INDEX(Summary!I:I,MATCH(H:H,Summary!A:A,0)),2)</f>
        <v>0.27</v>
      </c>
      <c r="V148" s="81">
        <f t="shared" si="50"/>
        <v>14383470.244018624</v>
      </c>
      <c r="W148" s="81">
        <f t="shared" si="50"/>
        <v>1378362.4216012899</v>
      </c>
      <c r="X148" s="45">
        <f t="shared" si="51"/>
        <v>15761832.665619913</v>
      </c>
      <c r="Y148" s="45" t="s">
        <v>2752</v>
      </c>
      <c r="Z148" s="45" t="str">
        <f t="shared" si="52"/>
        <v>Yes</v>
      </c>
      <c r="AA148" s="45" t="str">
        <f t="shared" si="52"/>
        <v>Yes</v>
      </c>
      <c r="AB148" s="45" t="str">
        <f t="shared" si="53"/>
        <v>Yes</v>
      </c>
      <c r="AC148" s="82">
        <f t="shared" si="54"/>
        <v>0.76</v>
      </c>
      <c r="AD148" s="82">
        <f t="shared" si="54"/>
        <v>0.75</v>
      </c>
      <c r="AE148" s="45">
        <f t="shared" si="55"/>
        <v>20243402.565655839</v>
      </c>
      <c r="AF148" s="45">
        <f t="shared" si="55"/>
        <v>3828784.5044480274</v>
      </c>
      <c r="AG148" s="45">
        <f t="shared" si="56"/>
        <v>24072187.070103865</v>
      </c>
      <c r="AH148" s="47">
        <f>IFERROR(ROUNDDOWN(INDEX('90% of ACR'!K:K,MATCH(H:H,'90% of ACR'!A:A,0))*IF(I148&gt;0,IF(O148&gt;0,$R$4*MAX(O148-V148,0),0),0)/I148,2),0)</f>
        <v>0.75</v>
      </c>
      <c r="AI148" s="82">
        <f>IFERROR(ROUNDDOWN(INDEX('90% of ACR'!R:R,MATCH(H:H,'90% of ACR'!A:A,0))*IF(J148&gt;0,IF(P148&gt;0,$R$4*MAX(P148-W148,0),0),0)/J148,2),0)</f>
        <v>0.74</v>
      </c>
      <c r="AJ148" s="45">
        <f t="shared" si="57"/>
        <v>19977042.00558142</v>
      </c>
      <c r="AK148" s="45">
        <f t="shared" si="57"/>
        <v>3777734.0443887203</v>
      </c>
      <c r="AL148" s="47">
        <f t="shared" si="58"/>
        <v>1.29</v>
      </c>
      <c r="AM148" s="47">
        <f t="shared" si="58"/>
        <v>1.01</v>
      </c>
      <c r="AN148" s="83">
        <f>IFERROR(INDEX('Fee Calc'!P:P,MATCH(C148,'Fee Calc'!F:F,0)),0)</f>
        <v>39516608.71559006</v>
      </c>
      <c r="AO148" s="83">
        <f>IFERROR(INDEX('Fee Calc'!Q:Q,MATCH(C148,'Fee Calc'!F:F,0)),0)</f>
        <v>2476677.6543603363</v>
      </c>
      <c r="AP148" s="83">
        <f t="shared" si="59"/>
        <v>41993286.369950399</v>
      </c>
      <c r="AQ148" s="70">
        <f t="shared" si="60"/>
        <v>17932477.065132659</v>
      </c>
      <c r="AR148" s="70">
        <f t="shared" si="61"/>
        <v>8966238.5325663295</v>
      </c>
      <c r="AS148" s="70">
        <f t="shared" si="62"/>
        <v>8966238.5325663295</v>
      </c>
    </row>
    <row r="149" spans="1:45">
      <c r="A149" s="104" t="s">
        <v>509</v>
      </c>
      <c r="B149" s="124" t="s">
        <v>509</v>
      </c>
      <c r="C149" s="31" t="s">
        <v>510</v>
      </c>
      <c r="D149" s="125" t="s">
        <v>510</v>
      </c>
      <c r="E149" s="119" t="s">
        <v>2338</v>
      </c>
      <c r="F149" s="100" t="s">
        <v>2279</v>
      </c>
      <c r="G149" s="100" t="s">
        <v>1365</v>
      </c>
      <c r="H149" s="43" t="str">
        <f t="shared" si="45"/>
        <v>Urban Tarrant</v>
      </c>
      <c r="I149" s="45">
        <f>INDEX('Fee Calc'!M:M,MATCH(C:C,'Fee Calc'!F:F,0))</f>
        <v>19999998.199724164</v>
      </c>
      <c r="J149" s="45">
        <f>INDEX('Fee Calc'!L:L,MATCH(C:C,'Fee Calc'!F:F,0))</f>
        <v>3365751.8401261847</v>
      </c>
      <c r="K149" s="45">
        <f t="shared" si="46"/>
        <v>23365750.039850347</v>
      </c>
      <c r="L149" s="45">
        <v>11953098.9</v>
      </c>
      <c r="M149" s="45">
        <v>2025239.79</v>
      </c>
      <c r="N149" s="45">
        <f t="shared" si="47"/>
        <v>13978338.690000001</v>
      </c>
      <c r="O149" s="45">
        <v>35612953.264941901</v>
      </c>
      <c r="P149" s="45">
        <v>3384639.5484618656</v>
      </c>
      <c r="Q149" s="45">
        <f t="shared" si="48"/>
        <v>38997592.81340377</v>
      </c>
      <c r="R149" s="45" t="str">
        <f t="shared" si="49"/>
        <v>Yes</v>
      </c>
      <c r="S149" s="46" t="str">
        <f t="shared" si="49"/>
        <v>Yes</v>
      </c>
      <c r="T149" s="47">
        <f>ROUND(INDEX(Summary!H:H,MATCH(H:H,Summary!A:A,0)),2)</f>
        <v>0.74</v>
      </c>
      <c r="U149" s="47">
        <f>ROUND(INDEX(Summary!I:I,MATCH(H:H,Summary!A:A,0)),2)</f>
        <v>0.49</v>
      </c>
      <c r="V149" s="81">
        <f t="shared" si="50"/>
        <v>14799998.667795882</v>
      </c>
      <c r="W149" s="81">
        <f t="shared" si="50"/>
        <v>1649218.4016618305</v>
      </c>
      <c r="X149" s="45">
        <f t="shared" si="51"/>
        <v>16449217.069457712</v>
      </c>
      <c r="Y149" s="45" t="s">
        <v>2752</v>
      </c>
      <c r="Z149" s="45" t="str">
        <f t="shared" si="52"/>
        <v>Yes</v>
      </c>
      <c r="AA149" s="45" t="str">
        <f t="shared" si="52"/>
        <v>Yes</v>
      </c>
      <c r="AB149" s="45" t="str">
        <f t="shared" si="53"/>
        <v>Yes</v>
      </c>
      <c r="AC149" s="82">
        <f t="shared" si="54"/>
        <v>0.72</v>
      </c>
      <c r="AD149" s="82">
        <f t="shared" si="54"/>
        <v>0.36</v>
      </c>
      <c r="AE149" s="45">
        <f t="shared" si="55"/>
        <v>14399998.703801397</v>
      </c>
      <c r="AF149" s="45">
        <f t="shared" si="55"/>
        <v>1211670.6624454265</v>
      </c>
      <c r="AG149" s="45">
        <f t="shared" si="56"/>
        <v>15611669.366246823</v>
      </c>
      <c r="AH149" s="47">
        <f>IFERROR(ROUNDDOWN(INDEX('90% of ACR'!K:K,MATCH(H:H,'90% of ACR'!A:A,0))*IF(I149&gt;0,IF(O149&gt;0,$R$4*MAX(O149-V149,0),0),0)/I149,2),0)</f>
        <v>0.72</v>
      </c>
      <c r="AI149" s="82">
        <f>IFERROR(ROUNDDOWN(INDEX('90% of ACR'!R:R,MATCH(H:H,'90% of ACR'!A:A,0))*IF(J149&gt;0,IF(P149&gt;0,$R$4*MAX(P149-W149,0),0),0)/J149,2),0)</f>
        <v>0.34</v>
      </c>
      <c r="AJ149" s="45">
        <f t="shared" si="57"/>
        <v>14399998.703801397</v>
      </c>
      <c r="AK149" s="45">
        <f t="shared" si="57"/>
        <v>1144355.6256429029</v>
      </c>
      <c r="AL149" s="47">
        <f t="shared" si="58"/>
        <v>1.46</v>
      </c>
      <c r="AM149" s="47">
        <f t="shared" si="58"/>
        <v>0.83000000000000007</v>
      </c>
      <c r="AN149" s="83">
        <f>IFERROR(INDEX('Fee Calc'!P:P,MATCH(C149,'Fee Calc'!F:F,0)),0)</f>
        <v>31993571.398902014</v>
      </c>
      <c r="AO149" s="83">
        <f>IFERROR(INDEX('Fee Calc'!Q:Q,MATCH(C149,'Fee Calc'!F:F,0)),0)</f>
        <v>1958451.8552834271</v>
      </c>
      <c r="AP149" s="83">
        <f t="shared" si="59"/>
        <v>33952023.254185438</v>
      </c>
      <c r="AQ149" s="70">
        <f t="shared" si="60"/>
        <v>14498600.394281315</v>
      </c>
      <c r="AR149" s="70">
        <f t="shared" si="61"/>
        <v>7249300.1971406573</v>
      </c>
      <c r="AS149" s="70">
        <f t="shared" si="62"/>
        <v>7249300.1971406573</v>
      </c>
    </row>
    <row r="150" spans="1:45">
      <c r="A150" s="104" t="s">
        <v>25</v>
      </c>
      <c r="B150" s="124" t="s">
        <v>25</v>
      </c>
      <c r="C150" s="31" t="s">
        <v>26</v>
      </c>
      <c r="D150" s="125" t="s">
        <v>26</v>
      </c>
      <c r="E150" s="119" t="s">
        <v>2842</v>
      </c>
      <c r="F150" s="100" t="s">
        <v>2279</v>
      </c>
      <c r="G150" s="100" t="s">
        <v>223</v>
      </c>
      <c r="H150" s="43" t="str">
        <f t="shared" si="45"/>
        <v>Urban Dallas</v>
      </c>
      <c r="I150" s="45">
        <f>INDEX('Fee Calc'!M:M,MATCH(C:C,'Fee Calc'!F:F,0))</f>
        <v>135081.12524784618</v>
      </c>
      <c r="J150" s="45">
        <f>INDEX('Fee Calc'!L:L,MATCH(C:C,'Fee Calc'!F:F,0))</f>
        <v>8791.8278504024711</v>
      </c>
      <c r="K150" s="45">
        <f t="shared" si="46"/>
        <v>143872.95309824866</v>
      </c>
      <c r="L150" s="45">
        <v>513850.21</v>
      </c>
      <c r="M150" s="45">
        <v>287520.88</v>
      </c>
      <c r="N150" s="45">
        <f t="shared" si="47"/>
        <v>801371.09000000008</v>
      </c>
      <c r="O150" s="45">
        <v>1325039.4088219195</v>
      </c>
      <c r="P150" s="45">
        <v>384906.41944232368</v>
      </c>
      <c r="Q150" s="45">
        <f t="shared" si="48"/>
        <v>1709945.8282642432</v>
      </c>
      <c r="R150" s="45" t="str">
        <f t="shared" si="49"/>
        <v>Yes</v>
      </c>
      <c r="S150" s="46" t="str">
        <f t="shared" si="49"/>
        <v>Yes</v>
      </c>
      <c r="T150" s="47">
        <f>ROUND(INDEX(Summary!H:H,MATCH(H:H,Summary!A:A,0)),2)</f>
        <v>0.54</v>
      </c>
      <c r="U150" s="47">
        <f>ROUND(INDEX(Summary!I:I,MATCH(H:H,Summary!A:A,0)),2)</f>
        <v>0.27</v>
      </c>
      <c r="V150" s="81">
        <f t="shared" si="50"/>
        <v>72943.807633836943</v>
      </c>
      <c r="W150" s="81">
        <f t="shared" si="50"/>
        <v>2373.7935196086673</v>
      </c>
      <c r="X150" s="45">
        <f t="shared" si="51"/>
        <v>75317.601153445605</v>
      </c>
      <c r="Y150" s="45" t="s">
        <v>2752</v>
      </c>
      <c r="Z150" s="45" t="str">
        <f t="shared" si="52"/>
        <v>Yes</v>
      </c>
      <c r="AA150" s="45" t="str">
        <f t="shared" si="52"/>
        <v>Yes</v>
      </c>
      <c r="AB150" s="45" t="str">
        <f t="shared" si="53"/>
        <v>Yes</v>
      </c>
      <c r="AC150" s="82">
        <f t="shared" si="54"/>
        <v>6.46</v>
      </c>
      <c r="AD150" s="82">
        <f t="shared" si="54"/>
        <v>30.31</v>
      </c>
      <c r="AE150" s="45">
        <f t="shared" si="55"/>
        <v>872624.06910108635</v>
      </c>
      <c r="AF150" s="45">
        <f t="shared" si="55"/>
        <v>266480.30214569886</v>
      </c>
      <c r="AG150" s="45">
        <f t="shared" si="56"/>
        <v>1139104.3712467852</v>
      </c>
      <c r="AH150" s="47">
        <f>IFERROR(ROUNDDOWN(INDEX('90% of ACR'!K:K,MATCH(H:H,'90% of ACR'!A:A,0))*IF(I150&gt;0,IF(O150&gt;0,$R$4*MAX(O150-V150,0),0),0)/I150,2),0)</f>
        <v>6.45</v>
      </c>
      <c r="AI150" s="82">
        <f>IFERROR(ROUNDDOWN(INDEX('90% of ACR'!R:R,MATCH(H:H,'90% of ACR'!A:A,0))*IF(J150&gt;0,IF(P150&gt;0,$R$4*MAX(P150-W150,0),0),0)/J150,2),0)</f>
        <v>30.31</v>
      </c>
      <c r="AJ150" s="45">
        <f t="shared" si="57"/>
        <v>871273.25784860796</v>
      </c>
      <c r="AK150" s="45">
        <f t="shared" si="57"/>
        <v>266480.30214569886</v>
      </c>
      <c r="AL150" s="47">
        <f t="shared" si="58"/>
        <v>6.99</v>
      </c>
      <c r="AM150" s="47">
        <f t="shared" si="58"/>
        <v>30.58</v>
      </c>
      <c r="AN150" s="83">
        <f>IFERROR(INDEX('Fee Calc'!P:P,MATCH(C150,'Fee Calc'!F:F,0)),0)</f>
        <v>1213071.1611477523</v>
      </c>
      <c r="AO150" s="83">
        <f>IFERROR(INDEX('Fee Calc'!Q:Q,MATCH(C150,'Fee Calc'!F:F,0)),0)</f>
        <v>77430.074115814001</v>
      </c>
      <c r="AP150" s="83">
        <f t="shared" si="59"/>
        <v>1290501.2352635663</v>
      </c>
      <c r="AQ150" s="70">
        <f t="shared" si="60"/>
        <v>551085.32349707128</v>
      </c>
      <c r="AR150" s="70">
        <f t="shared" si="61"/>
        <v>275542.66174853564</v>
      </c>
      <c r="AS150" s="70">
        <f t="shared" si="62"/>
        <v>275542.66174853564</v>
      </c>
    </row>
    <row r="151" spans="1:45">
      <c r="A151" s="104" t="s">
        <v>768</v>
      </c>
      <c r="B151" s="124" t="s">
        <v>768</v>
      </c>
      <c r="C151" s="31" t="s">
        <v>769</v>
      </c>
      <c r="D151" s="125" t="s">
        <v>769</v>
      </c>
      <c r="E151" s="119" t="s">
        <v>2668</v>
      </c>
      <c r="F151" s="100" t="s">
        <v>2291</v>
      </c>
      <c r="G151" s="100" t="s">
        <v>1486</v>
      </c>
      <c r="H151" s="43" t="str">
        <f t="shared" si="45"/>
        <v>Rural MRSA Central</v>
      </c>
      <c r="I151" s="45">
        <f>INDEX('Fee Calc'!M:M,MATCH(C:C,'Fee Calc'!F:F,0))</f>
        <v>67568.410052602776</v>
      </c>
      <c r="J151" s="45">
        <f>INDEX('Fee Calc'!L:L,MATCH(C:C,'Fee Calc'!F:F,0))</f>
        <v>898966.06665352837</v>
      </c>
      <c r="K151" s="45">
        <f t="shared" si="46"/>
        <v>966534.47670613113</v>
      </c>
      <c r="L151" s="45">
        <v>64604.28</v>
      </c>
      <c r="M151" s="45">
        <v>-35961.360000000001</v>
      </c>
      <c r="N151" s="45">
        <f t="shared" si="47"/>
        <v>28642.92</v>
      </c>
      <c r="O151" s="45">
        <v>-24104.986284653667</v>
      </c>
      <c r="P151" s="45">
        <v>-36840.793485706788</v>
      </c>
      <c r="Q151" s="45">
        <f t="shared" si="48"/>
        <v>-60945.779770360459</v>
      </c>
      <c r="R151" s="45" t="str">
        <f t="shared" si="49"/>
        <v>No</v>
      </c>
      <c r="S151" s="46" t="str">
        <f t="shared" si="49"/>
        <v>No</v>
      </c>
      <c r="T151" s="47">
        <f>ROUND(INDEX(Summary!H:H,MATCH(H:H,Summary!A:A,0)),2)</f>
        <v>0.09</v>
      </c>
      <c r="U151" s="47">
        <f>ROUND(INDEX(Summary!I:I,MATCH(H:H,Summary!A:A,0)),2)</f>
        <v>0.09</v>
      </c>
      <c r="V151" s="81">
        <f t="shared" si="50"/>
        <v>6081.15690473425</v>
      </c>
      <c r="W151" s="81">
        <f t="shared" si="50"/>
        <v>80906.945998817551</v>
      </c>
      <c r="X151" s="45">
        <f t="shared" si="51"/>
        <v>86988.1029035518</v>
      </c>
      <c r="Y151" s="45" t="s">
        <v>2752</v>
      </c>
      <c r="Z151" s="45" t="str">
        <f t="shared" si="52"/>
        <v>No</v>
      </c>
      <c r="AA151" s="45" t="str">
        <f t="shared" si="52"/>
        <v>No</v>
      </c>
      <c r="AB151" s="45" t="str">
        <f t="shared" si="53"/>
        <v>No</v>
      </c>
      <c r="AC151" s="82">
        <f t="shared" si="54"/>
        <v>0</v>
      </c>
      <c r="AD151" s="82">
        <f t="shared" si="54"/>
        <v>0</v>
      </c>
      <c r="AE151" s="45">
        <f t="shared" si="55"/>
        <v>0</v>
      </c>
      <c r="AF151" s="45">
        <f t="shared" si="55"/>
        <v>0</v>
      </c>
      <c r="AG151" s="45">
        <f t="shared" si="56"/>
        <v>0</v>
      </c>
      <c r="AH151" s="47">
        <f>IFERROR(ROUNDDOWN(INDEX('90% of ACR'!K:K,MATCH(H:H,'90% of ACR'!A:A,0))*IF(I151&gt;0,IF(O151&gt;0,$R$4*MAX(O151-V151,0),0),0)/I151,2),0)</f>
        <v>0</v>
      </c>
      <c r="AI151" s="82">
        <f>IFERROR(ROUNDDOWN(INDEX('90% of ACR'!R:R,MATCH(H:H,'90% of ACR'!A:A,0))*IF(J151&gt;0,IF(P151&gt;0,$R$4*MAX(P151-W151,0),0),0)/J151,2),0)</f>
        <v>0</v>
      </c>
      <c r="AJ151" s="45">
        <f t="shared" si="57"/>
        <v>0</v>
      </c>
      <c r="AK151" s="45">
        <f t="shared" si="57"/>
        <v>0</v>
      </c>
      <c r="AL151" s="47">
        <f t="shared" si="58"/>
        <v>0.09</v>
      </c>
      <c r="AM151" s="47">
        <f t="shared" si="58"/>
        <v>0.09</v>
      </c>
      <c r="AN151" s="83">
        <f>IFERROR(INDEX('Fee Calc'!P:P,MATCH(C151,'Fee Calc'!F:F,0)),0)</f>
        <v>86988.1029035518</v>
      </c>
      <c r="AO151" s="83">
        <f>IFERROR(INDEX('Fee Calc'!Q:Q,MATCH(C151,'Fee Calc'!F:F,0)),0)</f>
        <v>5346.5634995882501</v>
      </c>
      <c r="AP151" s="83">
        <f t="shared" si="59"/>
        <v>92334.666403140058</v>
      </c>
      <c r="AQ151" s="70">
        <f t="shared" si="60"/>
        <v>39429.857263465703</v>
      </c>
      <c r="AR151" s="70">
        <f t="shared" si="61"/>
        <v>19714.928631732851</v>
      </c>
      <c r="AS151" s="70">
        <f t="shared" si="62"/>
        <v>19714.928631732851</v>
      </c>
    </row>
    <row r="152" spans="1:45">
      <c r="A152" s="104" t="s">
        <v>1288</v>
      </c>
      <c r="B152" s="124" t="s">
        <v>1288</v>
      </c>
      <c r="C152" s="31" t="s">
        <v>1289</v>
      </c>
      <c r="D152" s="125" t="s">
        <v>1289</v>
      </c>
      <c r="E152" s="119" t="s">
        <v>2843</v>
      </c>
      <c r="F152" s="100" t="s">
        <v>2291</v>
      </c>
      <c r="G152" s="100" t="s">
        <v>310</v>
      </c>
      <c r="H152" s="43" t="str">
        <f t="shared" si="45"/>
        <v>Rural MRSA Northeast</v>
      </c>
      <c r="I152" s="45">
        <f>INDEX('Fee Calc'!M:M,MATCH(C:C,'Fee Calc'!F:F,0))</f>
        <v>5938763.6495821811</v>
      </c>
      <c r="J152" s="45">
        <f>INDEX('Fee Calc'!L:L,MATCH(C:C,'Fee Calc'!F:F,0))</f>
        <v>2460023.2385330005</v>
      </c>
      <c r="K152" s="45">
        <f t="shared" si="46"/>
        <v>8398786.8881151825</v>
      </c>
      <c r="L152" s="45">
        <v>660260.19999999995</v>
      </c>
      <c r="M152" s="45">
        <v>1271635.27</v>
      </c>
      <c r="N152" s="45">
        <f t="shared" si="47"/>
        <v>1931895.47</v>
      </c>
      <c r="O152" s="45">
        <v>950395.07436433248</v>
      </c>
      <c r="P152" s="45">
        <v>2420533.2091182284</v>
      </c>
      <c r="Q152" s="45">
        <f t="shared" si="48"/>
        <v>3370928.2834825609</v>
      </c>
      <c r="R152" s="45" t="str">
        <f t="shared" si="49"/>
        <v>Yes</v>
      </c>
      <c r="S152" s="46" t="str">
        <f t="shared" si="49"/>
        <v>Yes</v>
      </c>
      <c r="T152" s="47">
        <f>ROUND(INDEX(Summary!H:H,MATCH(H:H,Summary!A:A,0)),2)</f>
        <v>0</v>
      </c>
      <c r="U152" s="47">
        <f>ROUND(INDEX(Summary!I:I,MATCH(H:H,Summary!A:A,0)),2)</f>
        <v>0.3</v>
      </c>
      <c r="V152" s="81">
        <f t="shared" si="50"/>
        <v>0</v>
      </c>
      <c r="W152" s="81">
        <f t="shared" si="50"/>
        <v>738006.97155990009</v>
      </c>
      <c r="X152" s="45">
        <f t="shared" si="51"/>
        <v>738006.97155990009</v>
      </c>
      <c r="Y152" s="45" t="s">
        <v>2752</v>
      </c>
      <c r="Z152" s="45" t="str">
        <f t="shared" si="52"/>
        <v>Yes</v>
      </c>
      <c r="AA152" s="45" t="str">
        <f t="shared" si="52"/>
        <v>Yes</v>
      </c>
      <c r="AB152" s="45" t="str">
        <f t="shared" si="53"/>
        <v>Yes</v>
      </c>
      <c r="AC152" s="82">
        <f t="shared" si="54"/>
        <v>0.11</v>
      </c>
      <c r="AD152" s="82">
        <f t="shared" si="54"/>
        <v>0.48</v>
      </c>
      <c r="AE152" s="45">
        <f t="shared" si="55"/>
        <v>653264.00145403994</v>
      </c>
      <c r="AF152" s="45">
        <f t="shared" si="55"/>
        <v>1180811.1544958402</v>
      </c>
      <c r="AG152" s="45">
        <f t="shared" si="56"/>
        <v>1834075.1559498801</v>
      </c>
      <c r="AH152" s="47">
        <f>IFERROR(ROUNDDOWN(INDEX('90% of ACR'!K:K,MATCH(H:H,'90% of ACR'!A:A,0))*IF(I152&gt;0,IF(O152&gt;0,$R$4*MAX(O152-V152,0),0),0)/I152,2),0)</f>
        <v>7.0000000000000007E-2</v>
      </c>
      <c r="AI152" s="82">
        <f>IFERROR(ROUNDDOWN(INDEX('90% of ACR'!R:R,MATCH(H:H,'90% of ACR'!A:A,0))*IF(J152&gt;0,IF(P152&gt;0,$R$4*MAX(P152-W152,0),0),0)/J152,2),0)</f>
        <v>0.47</v>
      </c>
      <c r="AJ152" s="45">
        <f t="shared" si="57"/>
        <v>415713.45547075273</v>
      </c>
      <c r="AK152" s="45">
        <f t="shared" si="57"/>
        <v>1156210.9221105101</v>
      </c>
      <c r="AL152" s="47">
        <f t="shared" si="58"/>
        <v>7.0000000000000007E-2</v>
      </c>
      <c r="AM152" s="47">
        <f t="shared" si="58"/>
        <v>0.77</v>
      </c>
      <c r="AN152" s="83">
        <f>IFERROR(INDEX('Fee Calc'!P:P,MATCH(C152,'Fee Calc'!F:F,0)),0)</f>
        <v>2309931.3491411633</v>
      </c>
      <c r="AO152" s="83">
        <f>IFERROR(INDEX('Fee Calc'!Q:Q,MATCH(C152,'Fee Calc'!F:F,0)),0)</f>
        <v>141977.74127039631</v>
      </c>
      <c r="AP152" s="83">
        <f t="shared" si="59"/>
        <v>2451909.0904115597</v>
      </c>
      <c r="AQ152" s="70">
        <f t="shared" si="60"/>
        <v>1047043.6426966292</v>
      </c>
      <c r="AR152" s="70">
        <f t="shared" si="61"/>
        <v>523521.82134831458</v>
      </c>
      <c r="AS152" s="70">
        <f t="shared" si="62"/>
        <v>523521.82134831458</v>
      </c>
    </row>
    <row r="153" spans="1:45">
      <c r="A153" s="104" t="s">
        <v>548</v>
      </c>
      <c r="B153" s="124" t="s">
        <v>548</v>
      </c>
      <c r="C153" s="31" t="s">
        <v>549</v>
      </c>
      <c r="D153" s="125" t="s">
        <v>549</v>
      </c>
      <c r="E153" s="119" t="s">
        <v>2844</v>
      </c>
      <c r="F153" s="100" t="s">
        <v>2291</v>
      </c>
      <c r="G153" s="100" t="s">
        <v>227</v>
      </c>
      <c r="H153" s="43" t="str">
        <f t="shared" si="45"/>
        <v>Rural MRSA West</v>
      </c>
      <c r="I153" s="45">
        <f>INDEX('Fee Calc'!M:M,MATCH(C:C,'Fee Calc'!F:F,0))</f>
        <v>19445.419902198893</v>
      </c>
      <c r="J153" s="45">
        <f>INDEX('Fee Calc'!L:L,MATCH(C:C,'Fee Calc'!F:F,0))</f>
        <v>323965.58359468851</v>
      </c>
      <c r="K153" s="45">
        <f t="shared" si="46"/>
        <v>343411.0034968874</v>
      </c>
      <c r="L153" s="45">
        <v>26364.61</v>
      </c>
      <c r="M153" s="45">
        <v>28105.49</v>
      </c>
      <c r="N153" s="45">
        <f t="shared" si="47"/>
        <v>54470.100000000006</v>
      </c>
      <c r="O153" s="45">
        <v>-4529.8905760387697</v>
      </c>
      <c r="P153" s="45">
        <v>16675.210680775781</v>
      </c>
      <c r="Q153" s="45">
        <f t="shared" si="48"/>
        <v>12145.320104737011</v>
      </c>
      <c r="R153" s="45" t="str">
        <f t="shared" si="49"/>
        <v>No</v>
      </c>
      <c r="S153" s="46" t="str">
        <f t="shared" si="49"/>
        <v>Yes</v>
      </c>
      <c r="T153" s="47">
        <f>ROUND(INDEX(Summary!H:H,MATCH(H:H,Summary!A:A,0)),2)</f>
        <v>0</v>
      </c>
      <c r="U153" s="47">
        <f>ROUND(INDEX(Summary!I:I,MATCH(H:H,Summary!A:A,0)),2)</f>
        <v>0.2</v>
      </c>
      <c r="V153" s="81">
        <f t="shared" si="50"/>
        <v>0</v>
      </c>
      <c r="W153" s="81">
        <f t="shared" si="50"/>
        <v>64793.116718937701</v>
      </c>
      <c r="X153" s="45">
        <f t="shared" si="51"/>
        <v>64793.116718937701</v>
      </c>
      <c r="Y153" s="45" t="s">
        <v>2752</v>
      </c>
      <c r="Z153" s="45" t="str">
        <f t="shared" si="52"/>
        <v>No</v>
      </c>
      <c r="AA153" s="45" t="str">
        <f t="shared" si="52"/>
        <v>No</v>
      </c>
      <c r="AB153" s="45" t="str">
        <f t="shared" si="53"/>
        <v>No</v>
      </c>
      <c r="AC153" s="82">
        <f t="shared" si="54"/>
        <v>0</v>
      </c>
      <c r="AD153" s="82">
        <f t="shared" si="54"/>
        <v>0</v>
      </c>
      <c r="AE153" s="45">
        <f t="shared" si="55"/>
        <v>0</v>
      </c>
      <c r="AF153" s="45">
        <f t="shared" si="55"/>
        <v>0</v>
      </c>
      <c r="AG153" s="45">
        <f t="shared" si="56"/>
        <v>0</v>
      </c>
      <c r="AH153" s="47">
        <f>IFERROR(ROUNDDOWN(INDEX('90% of ACR'!K:K,MATCH(H:H,'90% of ACR'!A:A,0))*IF(I153&gt;0,IF(O153&gt;0,$R$4*MAX(O153-V153,0),0),0)/I153,2),0)</f>
        <v>0</v>
      </c>
      <c r="AI153" s="82">
        <f>IFERROR(ROUNDDOWN(INDEX('90% of ACR'!R:R,MATCH(H:H,'90% of ACR'!A:A,0))*IF(J153&gt;0,IF(P153&gt;0,$R$4*MAX(P153-W153,0),0),0)/J153,2),0)</f>
        <v>0</v>
      </c>
      <c r="AJ153" s="45">
        <f t="shared" si="57"/>
        <v>0</v>
      </c>
      <c r="AK153" s="45">
        <f t="shared" si="57"/>
        <v>0</v>
      </c>
      <c r="AL153" s="47">
        <f t="shared" si="58"/>
        <v>0</v>
      </c>
      <c r="AM153" s="47">
        <f t="shared" si="58"/>
        <v>0.2</v>
      </c>
      <c r="AN153" s="83">
        <f>IFERROR(INDEX('Fee Calc'!P:P,MATCH(C153,'Fee Calc'!F:F,0)),0)</f>
        <v>64793.116718937701</v>
      </c>
      <c r="AO153" s="83">
        <f>IFERROR(INDEX('Fee Calc'!Q:Q,MATCH(C153,'Fee Calc'!F:F,0)),0)</f>
        <v>3971.2451164051708</v>
      </c>
      <c r="AP153" s="83">
        <f t="shared" si="59"/>
        <v>68764.361835342876</v>
      </c>
      <c r="AQ153" s="70">
        <f t="shared" si="60"/>
        <v>29364.582963270139</v>
      </c>
      <c r="AR153" s="70">
        <f t="shared" si="61"/>
        <v>14682.291481635069</v>
      </c>
      <c r="AS153" s="70">
        <f t="shared" si="62"/>
        <v>14682.291481635069</v>
      </c>
    </row>
    <row r="154" spans="1:45">
      <c r="A154" s="104" t="s">
        <v>31</v>
      </c>
      <c r="B154" s="124" t="s">
        <v>2550</v>
      </c>
      <c r="C154" s="31" t="s">
        <v>32</v>
      </c>
      <c r="D154" s="125" t="s">
        <v>32</v>
      </c>
      <c r="E154" s="119" t="s">
        <v>2845</v>
      </c>
      <c r="F154" s="100" t="s">
        <v>2279</v>
      </c>
      <c r="G154" s="100" t="s">
        <v>223</v>
      </c>
      <c r="H154" s="43" t="str">
        <f t="shared" si="45"/>
        <v>Urban Dallas</v>
      </c>
      <c r="I154" s="45">
        <f>INDEX('Fee Calc'!M:M,MATCH(C:C,'Fee Calc'!F:F,0))</f>
        <v>4334273.9201697577</v>
      </c>
      <c r="J154" s="45">
        <f>INDEX('Fee Calc'!L:L,MATCH(C:C,'Fee Calc'!F:F,0))</f>
        <v>1715576.9497692008</v>
      </c>
      <c r="K154" s="45">
        <f t="shared" si="46"/>
        <v>6049850.8699389584</v>
      </c>
      <c r="L154" s="45">
        <v>3874394.69</v>
      </c>
      <c r="M154" s="45">
        <v>2599257.23</v>
      </c>
      <c r="N154" s="45">
        <f t="shared" si="47"/>
        <v>6473651.9199999999</v>
      </c>
      <c r="O154" s="45">
        <v>9535846.8845014758</v>
      </c>
      <c r="P154" s="45">
        <v>4174255.6372330775</v>
      </c>
      <c r="Q154" s="45">
        <f t="shared" si="48"/>
        <v>13710102.521734554</v>
      </c>
      <c r="R154" s="45" t="str">
        <f t="shared" si="49"/>
        <v>Yes</v>
      </c>
      <c r="S154" s="46" t="str">
        <f t="shared" si="49"/>
        <v>Yes</v>
      </c>
      <c r="T154" s="47">
        <f>ROUND(INDEX(Summary!H:H,MATCH(H:H,Summary!A:A,0)),2)</f>
        <v>0.54</v>
      </c>
      <c r="U154" s="47">
        <f>ROUND(INDEX(Summary!I:I,MATCH(H:H,Summary!A:A,0)),2)</f>
        <v>0.27</v>
      </c>
      <c r="V154" s="81">
        <f t="shared" si="50"/>
        <v>2340507.9168916694</v>
      </c>
      <c r="W154" s="81">
        <f t="shared" si="50"/>
        <v>463205.77643768425</v>
      </c>
      <c r="X154" s="45">
        <f t="shared" si="51"/>
        <v>2803713.6933293538</v>
      </c>
      <c r="Y154" s="45" t="s">
        <v>2752</v>
      </c>
      <c r="Z154" s="45" t="str">
        <f t="shared" si="52"/>
        <v>Yes</v>
      </c>
      <c r="AA154" s="45" t="str">
        <f t="shared" si="52"/>
        <v>Yes</v>
      </c>
      <c r="AB154" s="45" t="str">
        <f t="shared" si="53"/>
        <v>Yes</v>
      </c>
      <c r="AC154" s="82">
        <f t="shared" si="54"/>
        <v>1.1599999999999999</v>
      </c>
      <c r="AD154" s="82">
        <f t="shared" si="54"/>
        <v>1.51</v>
      </c>
      <c r="AE154" s="45">
        <f t="shared" si="55"/>
        <v>5027757.7473969189</v>
      </c>
      <c r="AF154" s="45">
        <f t="shared" si="55"/>
        <v>2590521.1941514933</v>
      </c>
      <c r="AG154" s="45">
        <f t="shared" si="56"/>
        <v>7618278.9415484127</v>
      </c>
      <c r="AH154" s="47">
        <f>IFERROR(ROUNDDOWN(INDEX('90% of ACR'!K:K,MATCH(H:H,'90% of ACR'!A:A,0))*IF(I154&gt;0,IF(O154&gt;0,$R$4*MAX(O154-V154,0),0),0)/I154,2),0)</f>
        <v>1.1499999999999999</v>
      </c>
      <c r="AI154" s="82">
        <f>IFERROR(ROUNDDOWN(INDEX('90% of ACR'!R:R,MATCH(H:H,'90% of ACR'!A:A,0))*IF(J154&gt;0,IF(P154&gt;0,$R$4*MAX(P154-W154,0),0),0)/J154,2),0)</f>
        <v>1.5</v>
      </c>
      <c r="AJ154" s="45">
        <f t="shared" si="57"/>
        <v>4984415.0081952205</v>
      </c>
      <c r="AK154" s="45">
        <f t="shared" si="57"/>
        <v>2573365.4246538011</v>
      </c>
      <c r="AL154" s="47">
        <f t="shared" si="58"/>
        <v>1.69</v>
      </c>
      <c r="AM154" s="47">
        <f t="shared" si="58"/>
        <v>1.77</v>
      </c>
      <c r="AN154" s="83">
        <f>IFERROR(INDEX('Fee Calc'!P:P,MATCH(C154,'Fee Calc'!F:F,0)),0)</f>
        <v>10361494.126178376</v>
      </c>
      <c r="AO154" s="83">
        <f>IFERROR(INDEX('Fee Calc'!Q:Q,MATCH(C154,'Fee Calc'!F:F,0)),0)</f>
        <v>637948.75669913099</v>
      </c>
      <c r="AP154" s="83">
        <f t="shared" si="59"/>
        <v>10999442.882877508</v>
      </c>
      <c r="AQ154" s="70">
        <f t="shared" si="60"/>
        <v>4697114.0931609487</v>
      </c>
      <c r="AR154" s="70">
        <f t="shared" si="61"/>
        <v>2348557.0465804744</v>
      </c>
      <c r="AS154" s="70">
        <f t="shared" si="62"/>
        <v>2348557.0465804744</v>
      </c>
    </row>
    <row r="155" spans="1:45">
      <c r="A155" s="104" t="s">
        <v>34</v>
      </c>
      <c r="B155" s="124" t="s">
        <v>34</v>
      </c>
      <c r="C155" s="31" t="s">
        <v>35</v>
      </c>
      <c r="D155" s="125" t="s">
        <v>35</v>
      </c>
      <c r="E155" s="119" t="s">
        <v>2846</v>
      </c>
      <c r="F155" s="100" t="s">
        <v>2279</v>
      </c>
      <c r="G155" s="100" t="s">
        <v>223</v>
      </c>
      <c r="H155" s="43" t="str">
        <f t="shared" si="45"/>
        <v>Urban Dallas</v>
      </c>
      <c r="I155" s="45">
        <f>INDEX('Fee Calc'!M:M,MATCH(C:C,'Fee Calc'!F:F,0))</f>
        <v>2186894.7798336148</v>
      </c>
      <c r="J155" s="45">
        <f>INDEX('Fee Calc'!L:L,MATCH(C:C,'Fee Calc'!F:F,0))</f>
        <v>578316.26877909387</v>
      </c>
      <c r="K155" s="45">
        <f t="shared" si="46"/>
        <v>2765211.0486127087</v>
      </c>
      <c r="L155" s="45">
        <v>1781243.59</v>
      </c>
      <c r="M155" s="45">
        <v>900348.39</v>
      </c>
      <c r="N155" s="45">
        <f t="shared" si="47"/>
        <v>2681591.98</v>
      </c>
      <c r="O155" s="45">
        <v>5226509.6326983944</v>
      </c>
      <c r="P155" s="45">
        <v>1676172.1172670755</v>
      </c>
      <c r="Q155" s="45">
        <f t="shared" si="48"/>
        <v>6902681.7499654703</v>
      </c>
      <c r="R155" s="45" t="str">
        <f t="shared" si="49"/>
        <v>Yes</v>
      </c>
      <c r="S155" s="46" t="str">
        <f t="shared" si="49"/>
        <v>Yes</v>
      </c>
      <c r="T155" s="47">
        <f>ROUND(INDEX(Summary!H:H,MATCH(H:H,Summary!A:A,0)),2)</f>
        <v>0.54</v>
      </c>
      <c r="U155" s="47">
        <f>ROUND(INDEX(Summary!I:I,MATCH(H:H,Summary!A:A,0)),2)</f>
        <v>0.27</v>
      </c>
      <c r="V155" s="81">
        <f t="shared" si="50"/>
        <v>1180923.181110152</v>
      </c>
      <c r="W155" s="81">
        <f t="shared" si="50"/>
        <v>156145.39257035535</v>
      </c>
      <c r="X155" s="45">
        <f t="shared" si="51"/>
        <v>1337068.5736805075</v>
      </c>
      <c r="Y155" s="45" t="s">
        <v>2752</v>
      </c>
      <c r="Z155" s="45" t="str">
        <f t="shared" si="52"/>
        <v>Yes</v>
      </c>
      <c r="AA155" s="45" t="str">
        <f t="shared" si="52"/>
        <v>Yes</v>
      </c>
      <c r="AB155" s="45" t="str">
        <f t="shared" si="53"/>
        <v>Yes</v>
      </c>
      <c r="AC155" s="82">
        <f t="shared" si="54"/>
        <v>1.29</v>
      </c>
      <c r="AD155" s="82">
        <f t="shared" si="54"/>
        <v>1.83</v>
      </c>
      <c r="AE155" s="45">
        <f t="shared" si="55"/>
        <v>2821094.2659853632</v>
      </c>
      <c r="AF155" s="45">
        <f t="shared" si="55"/>
        <v>1058318.7718657418</v>
      </c>
      <c r="AG155" s="45">
        <f t="shared" si="56"/>
        <v>3879413.037851105</v>
      </c>
      <c r="AH155" s="47">
        <f>IFERROR(ROUNDDOWN(INDEX('90% of ACR'!K:K,MATCH(H:H,'90% of ACR'!A:A,0))*IF(I155&gt;0,IF(O155&gt;0,$R$4*MAX(O155-V155,0),0),0)/I155,2),0)</f>
        <v>1.28</v>
      </c>
      <c r="AI155" s="82">
        <f>IFERROR(ROUNDDOWN(INDEX('90% of ACR'!R:R,MATCH(H:H,'90% of ACR'!A:A,0))*IF(J155&gt;0,IF(P155&gt;0,$R$4*MAX(P155-W155,0),0),0)/J155,2),0)</f>
        <v>1.83</v>
      </c>
      <c r="AJ155" s="45">
        <f t="shared" si="57"/>
        <v>2799225.3181870272</v>
      </c>
      <c r="AK155" s="45">
        <f t="shared" si="57"/>
        <v>1058318.7718657418</v>
      </c>
      <c r="AL155" s="47">
        <f t="shared" si="58"/>
        <v>1.82</v>
      </c>
      <c r="AM155" s="47">
        <f t="shared" si="58"/>
        <v>2.1</v>
      </c>
      <c r="AN155" s="83">
        <f>IFERROR(INDEX('Fee Calc'!P:P,MATCH(C155,'Fee Calc'!F:F,0)),0)</f>
        <v>5194612.6637332765</v>
      </c>
      <c r="AO155" s="83">
        <f>IFERROR(INDEX('Fee Calc'!Q:Q,MATCH(C155,'Fee Calc'!F:F,0)),0)</f>
        <v>319215.84855746216</v>
      </c>
      <c r="AP155" s="83">
        <f t="shared" si="59"/>
        <v>5513828.5122907385</v>
      </c>
      <c r="AQ155" s="70">
        <f t="shared" si="60"/>
        <v>2354581.2172605386</v>
      </c>
      <c r="AR155" s="70">
        <f t="shared" si="61"/>
        <v>1177290.6086302693</v>
      </c>
      <c r="AS155" s="70">
        <f t="shared" si="62"/>
        <v>1177290.6086302693</v>
      </c>
    </row>
    <row r="156" spans="1:45">
      <c r="A156" s="104" t="s">
        <v>521</v>
      </c>
      <c r="B156" s="124" t="s">
        <v>2551</v>
      </c>
      <c r="C156" s="31" t="s">
        <v>522</v>
      </c>
      <c r="D156" s="125" t="s">
        <v>522</v>
      </c>
      <c r="E156" s="119" t="s">
        <v>2847</v>
      </c>
      <c r="F156" s="100" t="s">
        <v>2279</v>
      </c>
      <c r="G156" s="100" t="s">
        <v>223</v>
      </c>
      <c r="H156" s="43" t="str">
        <f t="shared" si="45"/>
        <v>Urban Dallas</v>
      </c>
      <c r="I156" s="45">
        <f>INDEX('Fee Calc'!M:M,MATCH(C:C,'Fee Calc'!F:F,0))</f>
        <v>199858.08835886751</v>
      </c>
      <c r="J156" s="45">
        <f>INDEX('Fee Calc'!L:L,MATCH(C:C,'Fee Calc'!F:F,0))</f>
        <v>62812.434663711341</v>
      </c>
      <c r="K156" s="45">
        <f t="shared" si="46"/>
        <v>262670.52302257885</v>
      </c>
      <c r="L156" s="45">
        <v>444010.51</v>
      </c>
      <c r="M156" s="45">
        <v>189944.29</v>
      </c>
      <c r="N156" s="45">
        <f t="shared" si="47"/>
        <v>633954.80000000005</v>
      </c>
      <c r="O156" s="45">
        <v>1478495.929226001</v>
      </c>
      <c r="P156" s="45">
        <v>343089.89639876963</v>
      </c>
      <c r="Q156" s="45">
        <f t="shared" si="48"/>
        <v>1821585.8256247707</v>
      </c>
      <c r="R156" s="45" t="str">
        <f t="shared" si="49"/>
        <v>Yes</v>
      </c>
      <c r="S156" s="46" t="str">
        <f t="shared" si="49"/>
        <v>Yes</v>
      </c>
      <c r="T156" s="47">
        <f>ROUND(INDEX(Summary!H:H,MATCH(H:H,Summary!A:A,0)),2)</f>
        <v>0.54</v>
      </c>
      <c r="U156" s="47">
        <f>ROUND(INDEX(Summary!I:I,MATCH(H:H,Summary!A:A,0)),2)</f>
        <v>0.27</v>
      </c>
      <c r="V156" s="81">
        <f t="shared" si="50"/>
        <v>107923.36771378847</v>
      </c>
      <c r="W156" s="81">
        <f t="shared" si="50"/>
        <v>16959.357359202062</v>
      </c>
      <c r="X156" s="45">
        <f t="shared" si="51"/>
        <v>124882.72507299052</v>
      </c>
      <c r="Y156" s="45" t="s">
        <v>2752</v>
      </c>
      <c r="Z156" s="45" t="str">
        <f t="shared" si="52"/>
        <v>Yes</v>
      </c>
      <c r="AA156" s="45" t="str">
        <f t="shared" si="52"/>
        <v>Yes</v>
      </c>
      <c r="AB156" s="45" t="str">
        <f t="shared" si="53"/>
        <v>Yes</v>
      </c>
      <c r="AC156" s="82">
        <f t="shared" si="54"/>
        <v>4.78</v>
      </c>
      <c r="AD156" s="82">
        <f t="shared" si="54"/>
        <v>3.62</v>
      </c>
      <c r="AE156" s="45">
        <f t="shared" si="55"/>
        <v>955321.66235538677</v>
      </c>
      <c r="AF156" s="45">
        <f t="shared" si="55"/>
        <v>227381.01348263505</v>
      </c>
      <c r="AG156" s="45">
        <f t="shared" si="56"/>
        <v>1182702.6758380218</v>
      </c>
      <c r="AH156" s="47">
        <f>IFERROR(ROUNDDOWN(INDEX('90% of ACR'!K:K,MATCH(H:H,'90% of ACR'!A:A,0))*IF(I156&gt;0,IF(O156&gt;0,$R$4*MAX(O156-V156,0),0),0)/I156,2),0)</f>
        <v>4.7699999999999996</v>
      </c>
      <c r="AI156" s="82">
        <f>IFERROR(ROUNDDOWN(INDEX('90% of ACR'!R:R,MATCH(H:H,'90% of ACR'!A:A,0))*IF(J156&gt;0,IF(P156&gt;0,$R$4*MAX(P156-W156,0),0),0)/J156,2),0)</f>
        <v>3.61</v>
      </c>
      <c r="AJ156" s="45">
        <f t="shared" si="57"/>
        <v>953323.08147179789</v>
      </c>
      <c r="AK156" s="45">
        <f t="shared" si="57"/>
        <v>226752.88913599795</v>
      </c>
      <c r="AL156" s="47">
        <f t="shared" si="58"/>
        <v>5.31</v>
      </c>
      <c r="AM156" s="47">
        <f t="shared" si="58"/>
        <v>3.88</v>
      </c>
      <c r="AN156" s="83">
        <f>IFERROR(INDEX('Fee Calc'!P:P,MATCH(C156,'Fee Calc'!F:F,0)),0)</f>
        <v>1304958.6956807864</v>
      </c>
      <c r="AO156" s="83">
        <f>IFERROR(INDEX('Fee Calc'!Q:Q,MATCH(C156,'Fee Calc'!F:F,0)),0)</f>
        <v>83295.235894518293</v>
      </c>
      <c r="AP156" s="83">
        <f t="shared" si="59"/>
        <v>1388253.9315753046</v>
      </c>
      <c r="AQ156" s="70">
        <f t="shared" si="60"/>
        <v>592828.85290846555</v>
      </c>
      <c r="AR156" s="70">
        <f t="shared" si="61"/>
        <v>296414.42645423277</v>
      </c>
      <c r="AS156" s="70">
        <f t="shared" si="62"/>
        <v>296414.42645423277</v>
      </c>
    </row>
    <row r="157" spans="1:45">
      <c r="A157" s="104" t="s">
        <v>563</v>
      </c>
      <c r="B157" s="124" t="s">
        <v>563</v>
      </c>
      <c r="C157" s="31" t="s">
        <v>564</v>
      </c>
      <c r="D157" s="125" t="s">
        <v>564</v>
      </c>
      <c r="E157" s="119" t="s">
        <v>2625</v>
      </c>
      <c r="F157" s="100" t="s">
        <v>2279</v>
      </c>
      <c r="G157" s="100" t="s">
        <v>300</v>
      </c>
      <c r="H157" s="43" t="str">
        <f t="shared" si="45"/>
        <v>Urban Harris</v>
      </c>
      <c r="I157" s="45">
        <f>INDEX('Fee Calc'!M:M,MATCH(C:C,'Fee Calc'!F:F,0))</f>
        <v>11302532.66129666</v>
      </c>
      <c r="J157" s="45">
        <f>INDEX('Fee Calc'!L:L,MATCH(C:C,'Fee Calc'!F:F,0))</f>
        <v>10725021.784278849</v>
      </c>
      <c r="K157" s="45">
        <f t="shared" si="46"/>
        <v>22027554.445575509</v>
      </c>
      <c r="L157" s="45">
        <v>6520674.0099999998</v>
      </c>
      <c r="M157" s="45">
        <v>1237160.81</v>
      </c>
      <c r="N157" s="45">
        <f t="shared" si="47"/>
        <v>7757834.8200000003</v>
      </c>
      <c r="O157" s="45">
        <v>13584025.838716106</v>
      </c>
      <c r="P157" s="45">
        <v>2755180.3996685077</v>
      </c>
      <c r="Q157" s="45">
        <f t="shared" si="48"/>
        <v>16339206.238384614</v>
      </c>
      <c r="R157" s="45" t="str">
        <f t="shared" si="49"/>
        <v>Yes</v>
      </c>
      <c r="S157" s="46" t="str">
        <f t="shared" si="49"/>
        <v>Yes</v>
      </c>
      <c r="T157" s="47">
        <f>ROUND(INDEX(Summary!H:H,MATCH(H:H,Summary!A:A,0)),2)</f>
        <v>1.57</v>
      </c>
      <c r="U157" s="47">
        <f>ROUND(INDEX(Summary!I:I,MATCH(H:H,Summary!A:A,0)),2)</f>
        <v>0.3</v>
      </c>
      <c r="V157" s="81">
        <f t="shared" si="50"/>
        <v>17744976.278235756</v>
      </c>
      <c r="W157" s="81">
        <f t="shared" si="50"/>
        <v>3217506.5352836545</v>
      </c>
      <c r="X157" s="45">
        <f t="shared" si="51"/>
        <v>20962482.813519411</v>
      </c>
      <c r="Y157" s="45" t="s">
        <v>2752</v>
      </c>
      <c r="Z157" s="45" t="str">
        <f t="shared" si="52"/>
        <v>No</v>
      </c>
      <c r="AA157" s="45" t="str">
        <f t="shared" si="52"/>
        <v>No</v>
      </c>
      <c r="AB157" s="45" t="str">
        <f t="shared" si="53"/>
        <v>No</v>
      </c>
      <c r="AC157" s="82">
        <f t="shared" si="54"/>
        <v>0</v>
      </c>
      <c r="AD157" s="82">
        <f t="shared" si="54"/>
        <v>0</v>
      </c>
      <c r="AE157" s="45">
        <f t="shared" si="55"/>
        <v>0</v>
      </c>
      <c r="AF157" s="45">
        <f t="shared" si="55"/>
        <v>0</v>
      </c>
      <c r="AG157" s="45">
        <f t="shared" si="56"/>
        <v>0</v>
      </c>
      <c r="AH157" s="47">
        <f>IFERROR(ROUNDDOWN(INDEX('90% of ACR'!K:K,MATCH(H:H,'90% of ACR'!A:A,0))*IF(I157&gt;0,IF(O157&gt;0,$R$4*MAX(O157-V157,0),0),0)/I157,2),0)</f>
        <v>0</v>
      </c>
      <c r="AI157" s="82">
        <f>IFERROR(ROUNDDOWN(INDEX('90% of ACR'!R:R,MATCH(H:H,'90% of ACR'!A:A,0))*IF(J157&gt;0,IF(P157&gt;0,$R$4*MAX(P157-W157,0),0),0)/J157,2),0)</f>
        <v>0</v>
      </c>
      <c r="AJ157" s="45">
        <f t="shared" si="57"/>
        <v>0</v>
      </c>
      <c r="AK157" s="45">
        <f t="shared" si="57"/>
        <v>0</v>
      </c>
      <c r="AL157" s="47">
        <f t="shared" si="58"/>
        <v>1.57</v>
      </c>
      <c r="AM157" s="47">
        <f t="shared" si="58"/>
        <v>0.3</v>
      </c>
      <c r="AN157" s="83">
        <f>IFERROR(INDEX('Fee Calc'!P:P,MATCH(C157,'Fee Calc'!F:F,0)),0)</f>
        <v>20962482.813519411</v>
      </c>
      <c r="AO157" s="83">
        <f>IFERROR(INDEX('Fee Calc'!Q:Q,MATCH(C157,'Fee Calc'!F:F,0)),0)</f>
        <v>1297503.3134953002</v>
      </c>
      <c r="AP157" s="83">
        <f t="shared" si="59"/>
        <v>22259986.127014711</v>
      </c>
      <c r="AQ157" s="70">
        <f t="shared" si="60"/>
        <v>9505726.3957913443</v>
      </c>
      <c r="AR157" s="70">
        <f t="shared" si="61"/>
        <v>4752863.1978956722</v>
      </c>
      <c r="AS157" s="70">
        <f t="shared" si="62"/>
        <v>4752863.1978956722</v>
      </c>
    </row>
    <row r="158" spans="1:45">
      <c r="A158" s="104" t="s">
        <v>518</v>
      </c>
      <c r="B158" s="124" t="s">
        <v>518</v>
      </c>
      <c r="C158" s="31" t="s">
        <v>519</v>
      </c>
      <c r="D158" s="125" t="s">
        <v>519</v>
      </c>
      <c r="E158" s="119" t="s">
        <v>2460</v>
      </c>
      <c r="F158" s="100" t="s">
        <v>2279</v>
      </c>
      <c r="G158" s="100" t="s">
        <v>223</v>
      </c>
      <c r="H158" s="43" t="str">
        <f t="shared" si="45"/>
        <v>Urban Dallas</v>
      </c>
      <c r="I158" s="45">
        <f>INDEX('Fee Calc'!M:M,MATCH(C:C,'Fee Calc'!F:F,0))</f>
        <v>2151940.5671649775</v>
      </c>
      <c r="J158" s="45">
        <f>INDEX('Fee Calc'!L:L,MATCH(C:C,'Fee Calc'!F:F,0))</f>
        <v>1334334.210819714</v>
      </c>
      <c r="K158" s="45">
        <f t="shared" si="46"/>
        <v>3486274.7779846918</v>
      </c>
      <c r="L158" s="45">
        <v>1449811.63</v>
      </c>
      <c r="M158" s="45">
        <v>1219386.92</v>
      </c>
      <c r="N158" s="45">
        <f t="shared" si="47"/>
        <v>2669198.5499999998</v>
      </c>
      <c r="O158" s="45">
        <v>4219665.8499524603</v>
      </c>
      <c r="P158" s="45">
        <v>2546707.9222427532</v>
      </c>
      <c r="Q158" s="45">
        <f t="shared" si="48"/>
        <v>6766373.7721952135</v>
      </c>
      <c r="R158" s="45" t="str">
        <f t="shared" si="49"/>
        <v>Yes</v>
      </c>
      <c r="S158" s="46" t="str">
        <f t="shared" si="49"/>
        <v>Yes</v>
      </c>
      <c r="T158" s="47">
        <f>ROUND(INDEX(Summary!H:H,MATCH(H:H,Summary!A:A,0)),2)</f>
        <v>0.54</v>
      </c>
      <c r="U158" s="47">
        <f>ROUND(INDEX(Summary!I:I,MATCH(H:H,Summary!A:A,0)),2)</f>
        <v>0.27</v>
      </c>
      <c r="V158" s="81">
        <f t="shared" si="50"/>
        <v>1162047.9062690879</v>
      </c>
      <c r="W158" s="81">
        <f t="shared" si="50"/>
        <v>360270.23692132282</v>
      </c>
      <c r="X158" s="45">
        <f t="shared" si="51"/>
        <v>1522318.1431904107</v>
      </c>
      <c r="Y158" s="45" t="s">
        <v>2752</v>
      </c>
      <c r="Z158" s="45" t="str">
        <f t="shared" si="52"/>
        <v>Yes</v>
      </c>
      <c r="AA158" s="45" t="str">
        <f t="shared" si="52"/>
        <v>Yes</v>
      </c>
      <c r="AB158" s="45" t="str">
        <f t="shared" si="53"/>
        <v>Yes</v>
      </c>
      <c r="AC158" s="82">
        <f t="shared" si="54"/>
        <v>0.99</v>
      </c>
      <c r="AD158" s="82">
        <f t="shared" si="54"/>
        <v>1.1399999999999999</v>
      </c>
      <c r="AE158" s="45">
        <f t="shared" si="55"/>
        <v>2130421.1614933279</v>
      </c>
      <c r="AF158" s="45">
        <f t="shared" si="55"/>
        <v>1521141.0003344738</v>
      </c>
      <c r="AG158" s="45">
        <f t="shared" si="56"/>
        <v>3651562.1618278017</v>
      </c>
      <c r="AH158" s="47">
        <f>IFERROR(ROUNDDOWN(INDEX('90% of ACR'!K:K,MATCH(H:H,'90% of ACR'!A:A,0))*IF(I158&gt;0,IF(O158&gt;0,$R$4*MAX(O158-V158,0),0),0)/I158,2),0)</f>
        <v>0.98</v>
      </c>
      <c r="AI158" s="82">
        <f>IFERROR(ROUNDDOWN(INDEX('90% of ACR'!R:R,MATCH(H:H,'90% of ACR'!A:A,0))*IF(J158&gt;0,IF(P158&gt;0,$R$4*MAX(P158-W158,0),0),0)/J158,2),0)</f>
        <v>1.1399999999999999</v>
      </c>
      <c r="AJ158" s="45">
        <f t="shared" si="57"/>
        <v>2108901.7558216779</v>
      </c>
      <c r="AK158" s="45">
        <f t="shared" si="57"/>
        <v>1521141.0003344738</v>
      </c>
      <c r="AL158" s="47">
        <f t="shared" si="58"/>
        <v>1.52</v>
      </c>
      <c r="AM158" s="47">
        <f t="shared" si="58"/>
        <v>1.41</v>
      </c>
      <c r="AN158" s="83">
        <f>IFERROR(INDEX('Fee Calc'!P:P,MATCH(C158,'Fee Calc'!F:F,0)),0)</f>
        <v>5152360.8993465621</v>
      </c>
      <c r="AO158" s="83">
        <f>IFERROR(INDEX('Fee Calc'!Q:Q,MATCH(C158,'Fee Calc'!F:F,0)),0)</f>
        <v>317941.69164904498</v>
      </c>
      <c r="AP158" s="83">
        <f t="shared" si="59"/>
        <v>5470302.590995607</v>
      </c>
      <c r="AQ158" s="70">
        <f t="shared" si="60"/>
        <v>2335994.2560380357</v>
      </c>
      <c r="AR158" s="70">
        <f t="shared" si="61"/>
        <v>1167997.1280190179</v>
      </c>
      <c r="AS158" s="70">
        <f t="shared" si="62"/>
        <v>1167997.1280190179</v>
      </c>
    </row>
    <row r="159" spans="1:45">
      <c r="A159" s="104" t="s">
        <v>557</v>
      </c>
      <c r="B159" s="124" t="s">
        <v>557</v>
      </c>
      <c r="C159" s="31" t="s">
        <v>558</v>
      </c>
      <c r="D159" s="125" t="s">
        <v>558</v>
      </c>
      <c r="E159" s="119" t="s">
        <v>2626</v>
      </c>
      <c r="F159" s="100" t="s">
        <v>2279</v>
      </c>
      <c r="G159" s="100" t="s">
        <v>300</v>
      </c>
      <c r="H159" s="43" t="str">
        <f t="shared" si="45"/>
        <v>Urban Harris</v>
      </c>
      <c r="I159" s="45">
        <f>INDEX('Fee Calc'!M:M,MATCH(C:C,'Fee Calc'!F:F,0))</f>
        <v>16857944.712639578</v>
      </c>
      <c r="J159" s="45">
        <f>INDEX('Fee Calc'!L:L,MATCH(C:C,'Fee Calc'!F:F,0))</f>
        <v>21838722.530927684</v>
      </c>
      <c r="K159" s="45">
        <f t="shared" si="46"/>
        <v>38696667.243567258</v>
      </c>
      <c r="L159" s="45">
        <v>10441347.82</v>
      </c>
      <c r="M159" s="45">
        <v>-1150556.74</v>
      </c>
      <c r="N159" s="45">
        <f t="shared" si="47"/>
        <v>9290791.0800000001</v>
      </c>
      <c r="O159" s="45">
        <v>24001527.200649999</v>
      </c>
      <c r="P159" s="45">
        <v>1036954.3702593138</v>
      </c>
      <c r="Q159" s="45">
        <f t="shared" si="48"/>
        <v>25038481.570909314</v>
      </c>
      <c r="R159" s="45" t="str">
        <f t="shared" si="49"/>
        <v>Yes</v>
      </c>
      <c r="S159" s="46" t="str">
        <f t="shared" si="49"/>
        <v>Yes</v>
      </c>
      <c r="T159" s="47">
        <f>ROUND(INDEX(Summary!H:H,MATCH(H:H,Summary!A:A,0)),2)</f>
        <v>1.57</v>
      </c>
      <c r="U159" s="47">
        <f>ROUND(INDEX(Summary!I:I,MATCH(H:H,Summary!A:A,0)),2)</f>
        <v>0.3</v>
      </c>
      <c r="V159" s="81">
        <f t="shared" si="50"/>
        <v>26466973.198844139</v>
      </c>
      <c r="W159" s="81">
        <f t="shared" si="50"/>
        <v>6551616.7592783049</v>
      </c>
      <c r="X159" s="45">
        <f t="shared" si="51"/>
        <v>33018589.958122443</v>
      </c>
      <c r="Y159" s="45" t="s">
        <v>2752</v>
      </c>
      <c r="Z159" s="45" t="str">
        <f t="shared" si="52"/>
        <v>No</v>
      </c>
      <c r="AA159" s="45" t="str">
        <f t="shared" si="52"/>
        <v>No</v>
      </c>
      <c r="AB159" s="45" t="str">
        <f t="shared" si="53"/>
        <v>No</v>
      </c>
      <c r="AC159" s="82">
        <f t="shared" si="54"/>
        <v>0</v>
      </c>
      <c r="AD159" s="82">
        <f t="shared" si="54"/>
        <v>0</v>
      </c>
      <c r="AE159" s="45">
        <f t="shared" si="55"/>
        <v>0</v>
      </c>
      <c r="AF159" s="45">
        <f t="shared" si="55"/>
        <v>0</v>
      </c>
      <c r="AG159" s="45">
        <f t="shared" si="56"/>
        <v>0</v>
      </c>
      <c r="AH159" s="47">
        <f>IFERROR(ROUNDDOWN(INDEX('90% of ACR'!K:K,MATCH(H:H,'90% of ACR'!A:A,0))*IF(I159&gt;0,IF(O159&gt;0,$R$4*MAX(O159-V159,0),0),0)/I159,2),0)</f>
        <v>0</v>
      </c>
      <c r="AI159" s="82">
        <f>IFERROR(ROUNDDOWN(INDEX('90% of ACR'!R:R,MATCH(H:H,'90% of ACR'!A:A,0))*IF(J159&gt;0,IF(P159&gt;0,$R$4*MAX(P159-W159,0),0),0)/J159,2),0)</f>
        <v>0</v>
      </c>
      <c r="AJ159" s="45">
        <f t="shared" si="57"/>
        <v>0</v>
      </c>
      <c r="AK159" s="45">
        <f t="shared" si="57"/>
        <v>0</v>
      </c>
      <c r="AL159" s="47">
        <f t="shared" si="58"/>
        <v>1.57</v>
      </c>
      <c r="AM159" s="47">
        <f t="shared" si="58"/>
        <v>0.3</v>
      </c>
      <c r="AN159" s="83">
        <f>IFERROR(INDEX('Fee Calc'!P:P,MATCH(C159,'Fee Calc'!F:F,0)),0)</f>
        <v>33018589.958122443</v>
      </c>
      <c r="AO159" s="83">
        <f>IFERROR(INDEX('Fee Calc'!Q:Q,MATCH(C159,'Fee Calc'!F:F,0)),0)</f>
        <v>2039378.0214000144</v>
      </c>
      <c r="AP159" s="83">
        <f t="shared" si="59"/>
        <v>35057967.979522459</v>
      </c>
      <c r="AQ159" s="70">
        <f t="shared" si="60"/>
        <v>14970874.182231436</v>
      </c>
      <c r="AR159" s="70">
        <f t="shared" si="61"/>
        <v>7485437.0911157178</v>
      </c>
      <c r="AS159" s="70">
        <f t="shared" si="62"/>
        <v>7485437.0911157178</v>
      </c>
    </row>
    <row r="160" spans="1:45">
      <c r="A160" s="104" t="s">
        <v>422</v>
      </c>
      <c r="B160" s="124" t="s">
        <v>422</v>
      </c>
      <c r="C160" s="31" t="s">
        <v>423</v>
      </c>
      <c r="D160" s="125" t="s">
        <v>423</v>
      </c>
      <c r="E160" s="119" t="s">
        <v>2438</v>
      </c>
      <c r="F160" s="100" t="s">
        <v>2291</v>
      </c>
      <c r="G160" s="100" t="s">
        <v>1202</v>
      </c>
      <c r="H160" s="43" t="str">
        <f t="shared" si="45"/>
        <v>Rural Travis</v>
      </c>
      <c r="I160" s="45">
        <f>INDEX('Fee Calc'!M:M,MATCH(C:C,'Fee Calc'!F:F,0))</f>
        <v>341058.49109705858</v>
      </c>
      <c r="J160" s="45">
        <f>INDEX('Fee Calc'!L:L,MATCH(C:C,'Fee Calc'!F:F,0))</f>
        <v>585934.69430022291</v>
      </c>
      <c r="K160" s="45">
        <f t="shared" si="46"/>
        <v>926993.18539728154</v>
      </c>
      <c r="L160" s="45">
        <v>-27265.040000000001</v>
      </c>
      <c r="M160" s="45">
        <v>299715.88</v>
      </c>
      <c r="N160" s="45">
        <f t="shared" si="47"/>
        <v>272450.84000000003</v>
      </c>
      <c r="O160" s="45">
        <v>15097.507215431513</v>
      </c>
      <c r="P160" s="45">
        <v>365552.88876101916</v>
      </c>
      <c r="Q160" s="45">
        <f t="shared" si="48"/>
        <v>380650.39597645064</v>
      </c>
      <c r="R160" s="45" t="str">
        <f t="shared" si="49"/>
        <v>Yes</v>
      </c>
      <c r="S160" s="46" t="str">
        <f t="shared" si="49"/>
        <v>Yes</v>
      </c>
      <c r="T160" s="47">
        <f>ROUND(INDEX(Summary!H:H,MATCH(H:H,Summary!A:A,0)),2)</f>
        <v>0.04</v>
      </c>
      <c r="U160" s="47">
        <f>ROUND(INDEX(Summary!I:I,MATCH(H:H,Summary!A:A,0)),2)</f>
        <v>0.2</v>
      </c>
      <c r="V160" s="81">
        <f t="shared" si="50"/>
        <v>13642.339643882344</v>
      </c>
      <c r="W160" s="81">
        <f t="shared" si="50"/>
        <v>117186.93886004458</v>
      </c>
      <c r="X160" s="45">
        <f t="shared" si="51"/>
        <v>130829.27850392692</v>
      </c>
      <c r="Y160" s="45" t="s">
        <v>2752</v>
      </c>
      <c r="Z160" s="45" t="str">
        <f t="shared" si="52"/>
        <v>No</v>
      </c>
      <c r="AA160" s="45" t="str">
        <f t="shared" si="52"/>
        <v>Yes</v>
      </c>
      <c r="AB160" s="45" t="str">
        <f t="shared" si="53"/>
        <v>Yes</v>
      </c>
      <c r="AC160" s="82">
        <f t="shared" si="54"/>
        <v>0</v>
      </c>
      <c r="AD160" s="82">
        <f t="shared" si="54"/>
        <v>0.3</v>
      </c>
      <c r="AE160" s="45">
        <f t="shared" si="55"/>
        <v>0</v>
      </c>
      <c r="AF160" s="45">
        <f t="shared" si="55"/>
        <v>175780.40829006687</v>
      </c>
      <c r="AG160" s="45">
        <f t="shared" si="56"/>
        <v>175780.40829006687</v>
      </c>
      <c r="AH160" s="47">
        <f>IFERROR(ROUNDDOWN(INDEX('90% of ACR'!K:K,MATCH(H:H,'90% of ACR'!A:A,0))*IF(I160&gt;0,IF(O160&gt;0,$R$4*MAX(O160-V160,0),0),0)/I160,2),0)</f>
        <v>0</v>
      </c>
      <c r="AI160" s="82">
        <f>IFERROR(ROUNDDOWN(INDEX('90% of ACR'!R:R,MATCH(H:H,'90% of ACR'!A:A,0))*IF(J160&gt;0,IF(P160&gt;0,$R$4*MAX(P160-W160,0),0),0)/J160,2),0)</f>
        <v>0.23</v>
      </c>
      <c r="AJ160" s="45">
        <f t="shared" si="57"/>
        <v>0</v>
      </c>
      <c r="AK160" s="45">
        <f t="shared" si="57"/>
        <v>134764.97968905128</v>
      </c>
      <c r="AL160" s="47">
        <f t="shared" si="58"/>
        <v>0.04</v>
      </c>
      <c r="AM160" s="47">
        <f t="shared" si="58"/>
        <v>0.43000000000000005</v>
      </c>
      <c r="AN160" s="83">
        <f>IFERROR(INDEX('Fee Calc'!P:P,MATCH(C160,'Fee Calc'!F:F,0)),0)</f>
        <v>265594.25819297822</v>
      </c>
      <c r="AO160" s="83">
        <f>IFERROR(INDEX('Fee Calc'!Q:Q,MATCH(C160,'Fee Calc'!F:F,0)),0)</f>
        <v>16528.89397253553</v>
      </c>
      <c r="AP160" s="83">
        <f t="shared" si="59"/>
        <v>282123.15216551372</v>
      </c>
      <c r="AQ160" s="70">
        <f t="shared" si="60"/>
        <v>120475.61391554365</v>
      </c>
      <c r="AR160" s="70">
        <f t="shared" si="61"/>
        <v>60237.806957771827</v>
      </c>
      <c r="AS160" s="70">
        <f t="shared" si="62"/>
        <v>60237.806957771827</v>
      </c>
    </row>
    <row r="161" spans="1:45">
      <c r="A161" s="104" t="s">
        <v>1013</v>
      </c>
      <c r="B161" s="124" t="s">
        <v>1013</v>
      </c>
      <c r="C161" s="31" t="s">
        <v>1014</v>
      </c>
      <c r="D161" s="125" t="s">
        <v>1014</v>
      </c>
      <c r="E161" s="119" t="s">
        <v>2552</v>
      </c>
      <c r="F161" s="100" t="s">
        <v>2291</v>
      </c>
      <c r="G161" s="100" t="s">
        <v>1486</v>
      </c>
      <c r="H161" s="43" t="str">
        <f t="shared" si="45"/>
        <v>Rural MRSA Central</v>
      </c>
      <c r="I161" s="45">
        <f>INDEX('Fee Calc'!M:M,MATCH(C:C,'Fee Calc'!F:F,0))</f>
        <v>2761779.2189624887</v>
      </c>
      <c r="J161" s="45">
        <f>INDEX('Fee Calc'!L:L,MATCH(C:C,'Fee Calc'!F:F,0))</f>
        <v>1199156.0270632689</v>
      </c>
      <c r="K161" s="45">
        <f t="shared" si="46"/>
        <v>3960935.2460257579</v>
      </c>
      <c r="L161" s="45">
        <v>-266048.65999999997</v>
      </c>
      <c r="M161" s="45">
        <v>287759.49</v>
      </c>
      <c r="N161" s="45">
        <f t="shared" si="47"/>
        <v>21710.830000000016</v>
      </c>
      <c r="O161" s="45">
        <v>-174865.29601627868</v>
      </c>
      <c r="P161" s="45">
        <v>524025.35489057307</v>
      </c>
      <c r="Q161" s="45">
        <f t="shared" si="48"/>
        <v>349160.05887429439</v>
      </c>
      <c r="R161" s="45" t="str">
        <f t="shared" si="49"/>
        <v>No</v>
      </c>
      <c r="S161" s="46" t="str">
        <f t="shared" si="49"/>
        <v>Yes</v>
      </c>
      <c r="T161" s="47">
        <f>ROUND(INDEX(Summary!H:H,MATCH(H:H,Summary!A:A,0)),2)</f>
        <v>0.09</v>
      </c>
      <c r="U161" s="47">
        <f>ROUND(INDEX(Summary!I:I,MATCH(H:H,Summary!A:A,0)),2)</f>
        <v>0.09</v>
      </c>
      <c r="V161" s="81">
        <f t="shared" si="50"/>
        <v>248560.12970662396</v>
      </c>
      <c r="W161" s="81">
        <f t="shared" si="50"/>
        <v>107924.04243569419</v>
      </c>
      <c r="X161" s="45">
        <f t="shared" si="51"/>
        <v>356484.17214231816</v>
      </c>
      <c r="Y161" s="45" t="s">
        <v>2752</v>
      </c>
      <c r="Z161" s="45" t="str">
        <f t="shared" si="52"/>
        <v>No</v>
      </c>
      <c r="AA161" s="45" t="str">
        <f t="shared" si="52"/>
        <v>Yes</v>
      </c>
      <c r="AB161" s="45" t="str">
        <f t="shared" si="53"/>
        <v>Yes</v>
      </c>
      <c r="AC161" s="82">
        <f t="shared" si="54"/>
        <v>0</v>
      </c>
      <c r="AD161" s="82">
        <f t="shared" si="54"/>
        <v>0.24</v>
      </c>
      <c r="AE161" s="45">
        <f t="shared" si="55"/>
        <v>0</v>
      </c>
      <c r="AF161" s="45">
        <f t="shared" si="55"/>
        <v>287797.44649518456</v>
      </c>
      <c r="AG161" s="45">
        <f t="shared" si="56"/>
        <v>287797.44649518456</v>
      </c>
      <c r="AH161" s="47">
        <f>IFERROR(ROUNDDOWN(INDEX('90% of ACR'!K:K,MATCH(H:H,'90% of ACR'!A:A,0))*IF(I161&gt;0,IF(O161&gt;0,$R$4*MAX(O161-V161,0),0),0)/I161,2),0)</f>
        <v>0</v>
      </c>
      <c r="AI161" s="82">
        <f>IFERROR(ROUNDDOWN(INDEX('90% of ACR'!R:R,MATCH(H:H,'90% of ACR'!A:A,0))*IF(J161&gt;0,IF(P161&gt;0,$R$4*MAX(P161-W161,0),0),0)/J161,2),0)</f>
        <v>0.24</v>
      </c>
      <c r="AJ161" s="45">
        <f t="shared" si="57"/>
        <v>0</v>
      </c>
      <c r="AK161" s="45">
        <f t="shared" si="57"/>
        <v>287797.44649518456</v>
      </c>
      <c r="AL161" s="47">
        <f t="shared" si="58"/>
        <v>0.09</v>
      </c>
      <c r="AM161" s="47">
        <f t="shared" si="58"/>
        <v>0.32999999999999996</v>
      </c>
      <c r="AN161" s="83">
        <f>IFERROR(INDEX('Fee Calc'!P:P,MATCH(C161,'Fee Calc'!F:F,0)),0)</f>
        <v>644281.61863750266</v>
      </c>
      <c r="AO161" s="83">
        <f>IFERROR(INDEX('Fee Calc'!Q:Q,MATCH(C161,'Fee Calc'!F:F,0)),0)</f>
        <v>39749.245584613105</v>
      </c>
      <c r="AP161" s="83">
        <f t="shared" si="59"/>
        <v>684030.86422211572</v>
      </c>
      <c r="AQ161" s="70">
        <f t="shared" si="60"/>
        <v>292103.06801049854</v>
      </c>
      <c r="AR161" s="70">
        <f t="shared" si="61"/>
        <v>146051.53400524927</v>
      </c>
      <c r="AS161" s="70">
        <f t="shared" si="62"/>
        <v>146051.53400524927</v>
      </c>
    </row>
    <row r="162" spans="1:45">
      <c r="A162" s="104" t="s">
        <v>569</v>
      </c>
      <c r="B162" s="124" t="s">
        <v>569</v>
      </c>
      <c r="C162" s="31" t="s">
        <v>570</v>
      </c>
      <c r="D162" s="125" t="s">
        <v>570</v>
      </c>
      <c r="E162" s="119" t="s">
        <v>2636</v>
      </c>
      <c r="F162" s="100" t="s">
        <v>2279</v>
      </c>
      <c r="G162" s="100" t="s">
        <v>300</v>
      </c>
      <c r="H162" s="43" t="str">
        <f t="shared" si="45"/>
        <v>Urban Harris</v>
      </c>
      <c r="I162" s="45">
        <f>INDEX('Fee Calc'!M:M,MATCH(C:C,'Fee Calc'!F:F,0))</f>
        <v>11290021.498902231</v>
      </c>
      <c r="J162" s="45">
        <f>INDEX('Fee Calc'!L:L,MATCH(C:C,'Fee Calc'!F:F,0))</f>
        <v>9580351.7863339409</v>
      </c>
      <c r="K162" s="45">
        <f t="shared" si="46"/>
        <v>20870373.285236172</v>
      </c>
      <c r="L162" s="45">
        <v>8150478.3300000001</v>
      </c>
      <c r="M162" s="45">
        <v>1395303.37</v>
      </c>
      <c r="N162" s="45">
        <f t="shared" si="47"/>
        <v>9545781.6999999993</v>
      </c>
      <c r="O162" s="45">
        <v>17962919.552386384</v>
      </c>
      <c r="P162" s="45">
        <v>2117355.8128463873</v>
      </c>
      <c r="Q162" s="45">
        <f t="shared" si="48"/>
        <v>20080275.365232773</v>
      </c>
      <c r="R162" s="45" t="str">
        <f t="shared" si="49"/>
        <v>Yes</v>
      </c>
      <c r="S162" s="46" t="str">
        <f t="shared" si="49"/>
        <v>Yes</v>
      </c>
      <c r="T162" s="47">
        <f>ROUND(INDEX(Summary!H:H,MATCH(H:H,Summary!A:A,0)),2)</f>
        <v>1.57</v>
      </c>
      <c r="U162" s="47">
        <f>ROUND(INDEX(Summary!I:I,MATCH(H:H,Summary!A:A,0)),2)</f>
        <v>0.3</v>
      </c>
      <c r="V162" s="81">
        <f t="shared" si="50"/>
        <v>17725333.753276505</v>
      </c>
      <c r="W162" s="81">
        <f t="shared" si="50"/>
        <v>2874105.5359001821</v>
      </c>
      <c r="X162" s="45">
        <f t="shared" si="51"/>
        <v>20599439.289176688</v>
      </c>
      <c r="Y162" s="45" t="s">
        <v>2752</v>
      </c>
      <c r="Z162" s="45" t="str">
        <f t="shared" si="52"/>
        <v>No</v>
      </c>
      <c r="AA162" s="45" t="str">
        <f t="shared" si="52"/>
        <v>No</v>
      </c>
      <c r="AB162" s="45" t="str">
        <f t="shared" si="53"/>
        <v>Yes</v>
      </c>
      <c r="AC162" s="82">
        <f t="shared" si="54"/>
        <v>0.01</v>
      </c>
      <c r="AD162" s="82">
        <f t="shared" si="54"/>
        <v>0</v>
      </c>
      <c r="AE162" s="45">
        <f t="shared" si="55"/>
        <v>112900.21498902232</v>
      </c>
      <c r="AF162" s="45">
        <f t="shared" si="55"/>
        <v>0</v>
      </c>
      <c r="AG162" s="45">
        <f t="shared" si="56"/>
        <v>112900.21498902232</v>
      </c>
      <c r="AH162" s="47">
        <f>IFERROR(ROUNDDOWN(INDEX('90% of ACR'!K:K,MATCH(H:H,'90% of ACR'!A:A,0))*IF(I162&gt;0,IF(O162&gt;0,$R$4*MAX(O162-V162,0),0),0)/I162,2),0)</f>
        <v>0</v>
      </c>
      <c r="AI162" s="82">
        <f>IFERROR(ROUNDDOWN(INDEX('90% of ACR'!R:R,MATCH(H:H,'90% of ACR'!A:A,0))*IF(J162&gt;0,IF(P162&gt;0,$R$4*MAX(P162-W162,0),0),0)/J162,2),0)</f>
        <v>0</v>
      </c>
      <c r="AJ162" s="45">
        <f t="shared" si="57"/>
        <v>0</v>
      </c>
      <c r="AK162" s="45">
        <f t="shared" si="57"/>
        <v>0</v>
      </c>
      <c r="AL162" s="47">
        <f t="shared" si="58"/>
        <v>1.57</v>
      </c>
      <c r="AM162" s="47">
        <f t="shared" si="58"/>
        <v>0.3</v>
      </c>
      <c r="AN162" s="83">
        <f>IFERROR(INDEX('Fee Calc'!P:P,MATCH(C162,'Fee Calc'!F:F,0)),0)</f>
        <v>20599439.289176688</v>
      </c>
      <c r="AO162" s="83">
        <f>IFERROR(INDEX('Fee Calc'!Q:Q,MATCH(C162,'Fee Calc'!F:F,0)),0)</f>
        <v>1275372.1410838657</v>
      </c>
      <c r="AP162" s="83">
        <f t="shared" si="59"/>
        <v>21874811.430260554</v>
      </c>
      <c r="AQ162" s="70">
        <f t="shared" si="60"/>
        <v>9341244.474687025</v>
      </c>
      <c r="AR162" s="70">
        <f t="shared" si="61"/>
        <v>4670622.2373435125</v>
      </c>
      <c r="AS162" s="70">
        <f t="shared" si="62"/>
        <v>4670622.2373435125</v>
      </c>
    </row>
    <row r="163" spans="1:45">
      <c r="A163" s="104" t="s">
        <v>935</v>
      </c>
      <c r="B163" s="124" t="s">
        <v>935</v>
      </c>
      <c r="C163" s="31" t="s">
        <v>936</v>
      </c>
      <c r="D163" s="125" t="s">
        <v>936</v>
      </c>
      <c r="E163" s="119" t="s">
        <v>2461</v>
      </c>
      <c r="F163" s="100" t="s">
        <v>2279</v>
      </c>
      <c r="G163" s="100" t="s">
        <v>1365</v>
      </c>
      <c r="H163" s="43" t="str">
        <f t="shared" si="45"/>
        <v>Urban Tarrant</v>
      </c>
      <c r="I163" s="45">
        <f>INDEX('Fee Calc'!M:M,MATCH(C:C,'Fee Calc'!F:F,0))</f>
        <v>64802.131811650615</v>
      </c>
      <c r="J163" s="45">
        <f>INDEX('Fee Calc'!L:L,MATCH(C:C,'Fee Calc'!F:F,0))</f>
        <v>129428.04059062857</v>
      </c>
      <c r="K163" s="45">
        <f t="shared" si="46"/>
        <v>194230.17240227919</v>
      </c>
      <c r="L163" s="45">
        <v>1019730.43</v>
      </c>
      <c r="M163" s="45">
        <v>551345.48</v>
      </c>
      <c r="N163" s="45">
        <f t="shared" si="47"/>
        <v>1571075.9100000001</v>
      </c>
      <c r="O163" s="45">
        <v>3541840.5325236795</v>
      </c>
      <c r="P163" s="45">
        <v>1001473.7100758083</v>
      </c>
      <c r="Q163" s="45">
        <f t="shared" si="48"/>
        <v>4543314.2425994882</v>
      </c>
      <c r="R163" s="45" t="str">
        <f t="shared" si="49"/>
        <v>Yes</v>
      </c>
      <c r="S163" s="46" t="str">
        <f t="shared" si="49"/>
        <v>Yes</v>
      </c>
      <c r="T163" s="47">
        <f>ROUND(INDEX(Summary!H:H,MATCH(H:H,Summary!A:A,0)),2)</f>
        <v>0.74</v>
      </c>
      <c r="U163" s="47">
        <f>ROUND(INDEX(Summary!I:I,MATCH(H:H,Summary!A:A,0)),2)</f>
        <v>0.49</v>
      </c>
      <c r="V163" s="81">
        <f t="shared" si="50"/>
        <v>47953.577540621452</v>
      </c>
      <c r="W163" s="81">
        <f t="shared" si="50"/>
        <v>63419.739889408003</v>
      </c>
      <c r="X163" s="45">
        <f t="shared" si="51"/>
        <v>111373.31743002945</v>
      </c>
      <c r="Y163" s="45" t="s">
        <v>2752</v>
      </c>
      <c r="Z163" s="45" t="str">
        <f t="shared" si="52"/>
        <v>Yes</v>
      </c>
      <c r="AA163" s="45" t="str">
        <f t="shared" si="52"/>
        <v>Yes</v>
      </c>
      <c r="AB163" s="45" t="str">
        <f t="shared" si="53"/>
        <v>Yes</v>
      </c>
      <c r="AC163" s="82">
        <f t="shared" si="54"/>
        <v>37.56</v>
      </c>
      <c r="AD163" s="82">
        <f t="shared" si="54"/>
        <v>5.05</v>
      </c>
      <c r="AE163" s="45">
        <f t="shared" si="55"/>
        <v>2433968.0708455974</v>
      </c>
      <c r="AF163" s="45">
        <f t="shared" si="55"/>
        <v>653611.60498267424</v>
      </c>
      <c r="AG163" s="45">
        <f t="shared" si="56"/>
        <v>3087579.6758282715</v>
      </c>
      <c r="AH163" s="47">
        <f>IFERROR(ROUNDDOWN(INDEX('90% of ACR'!K:K,MATCH(H:H,'90% of ACR'!A:A,0))*IF(I163&gt;0,IF(O163&gt;0,$R$4*MAX(O163-V163,0),0),0)/I163,2),0)</f>
        <v>37.56</v>
      </c>
      <c r="AI163" s="82">
        <f>IFERROR(ROUNDDOWN(INDEX('90% of ACR'!R:R,MATCH(H:H,'90% of ACR'!A:A,0))*IF(J163&gt;0,IF(P163&gt;0,$R$4*MAX(P163-W163,0),0),0)/J163,2),0)</f>
        <v>4.91</v>
      </c>
      <c r="AJ163" s="45">
        <f t="shared" si="57"/>
        <v>2433968.0708455974</v>
      </c>
      <c r="AK163" s="45">
        <f t="shared" si="57"/>
        <v>635491.67929998634</v>
      </c>
      <c r="AL163" s="47">
        <f t="shared" si="58"/>
        <v>38.300000000000004</v>
      </c>
      <c r="AM163" s="47">
        <f t="shared" si="58"/>
        <v>5.4</v>
      </c>
      <c r="AN163" s="83">
        <f>IFERROR(INDEX('Fee Calc'!P:P,MATCH(C163,'Fee Calc'!F:F,0)),0)</f>
        <v>3180833.0675756135</v>
      </c>
      <c r="AO163" s="83">
        <f>IFERROR(INDEX('Fee Calc'!Q:Q,MATCH(C163,'Fee Calc'!F:F,0)),0)</f>
        <v>194056.12879108518</v>
      </c>
      <c r="AP163" s="83">
        <f t="shared" si="59"/>
        <v>3374889.1963666985</v>
      </c>
      <c r="AQ163" s="70">
        <f t="shared" si="60"/>
        <v>1441185.683302864</v>
      </c>
      <c r="AR163" s="70">
        <f t="shared" si="61"/>
        <v>720592.84165143198</v>
      </c>
      <c r="AS163" s="70">
        <f t="shared" si="62"/>
        <v>720592.84165143198</v>
      </c>
    </row>
    <row r="164" spans="1:45">
      <c r="A164" s="104" t="s">
        <v>1490</v>
      </c>
      <c r="B164" s="124" t="s">
        <v>1490</v>
      </c>
      <c r="C164" s="31" t="s">
        <v>1491</v>
      </c>
      <c r="D164" s="125" t="s">
        <v>1491</v>
      </c>
      <c r="E164" s="119" t="s">
        <v>2553</v>
      </c>
      <c r="F164" s="100" t="s">
        <v>2279</v>
      </c>
      <c r="G164" s="100" t="s">
        <v>1486</v>
      </c>
      <c r="H164" s="43" t="str">
        <f t="shared" si="45"/>
        <v>Urban MRSA Central</v>
      </c>
      <c r="I164" s="45">
        <f>INDEX('Fee Calc'!M:M,MATCH(C:C,'Fee Calc'!F:F,0))</f>
        <v>0</v>
      </c>
      <c r="J164" s="45">
        <f>INDEX('Fee Calc'!L:L,MATCH(C:C,'Fee Calc'!F:F,0))</f>
        <v>940.37138560240862</v>
      </c>
      <c r="K164" s="45">
        <f t="shared" si="46"/>
        <v>940.37138560240862</v>
      </c>
      <c r="L164" s="45">
        <v>49259.98</v>
      </c>
      <c r="M164" s="45">
        <v>0</v>
      </c>
      <c r="N164" s="45">
        <f t="shared" si="47"/>
        <v>49259.98</v>
      </c>
      <c r="O164" s="45">
        <v>64537.12407127161</v>
      </c>
      <c r="P164" s="45">
        <v>0</v>
      </c>
      <c r="Q164" s="45">
        <f t="shared" si="48"/>
        <v>64537.12407127161</v>
      </c>
      <c r="R164" s="45" t="str">
        <f t="shared" si="49"/>
        <v>Yes</v>
      </c>
      <c r="S164" s="46" t="str">
        <f t="shared" si="49"/>
        <v>No</v>
      </c>
      <c r="T164" s="47">
        <f>ROUND(INDEX(Summary!H:H,MATCH(H:H,Summary!A:A,0)),2)</f>
        <v>0.43</v>
      </c>
      <c r="U164" s="47">
        <f>ROUND(INDEX(Summary!I:I,MATCH(H:H,Summary!A:A,0)),2)</f>
        <v>0.92</v>
      </c>
      <c r="V164" s="81">
        <f t="shared" si="50"/>
        <v>0</v>
      </c>
      <c r="W164" s="81">
        <f t="shared" si="50"/>
        <v>865.14167475421596</v>
      </c>
      <c r="X164" s="45">
        <f t="shared" si="51"/>
        <v>865.14167475421596</v>
      </c>
      <c r="Y164" s="45" t="s">
        <v>2752</v>
      </c>
      <c r="Z164" s="45" t="str">
        <f t="shared" si="52"/>
        <v>No</v>
      </c>
      <c r="AA164" s="45" t="str">
        <f t="shared" si="52"/>
        <v>No</v>
      </c>
      <c r="AB164" s="45" t="str">
        <f t="shared" si="53"/>
        <v>No</v>
      </c>
      <c r="AC164" s="82">
        <f t="shared" si="54"/>
        <v>0</v>
      </c>
      <c r="AD164" s="82">
        <f t="shared" si="54"/>
        <v>0</v>
      </c>
      <c r="AE164" s="45">
        <f t="shared" si="55"/>
        <v>0</v>
      </c>
      <c r="AF164" s="45">
        <f t="shared" si="55"/>
        <v>0</v>
      </c>
      <c r="AG164" s="45">
        <f t="shared" si="56"/>
        <v>0</v>
      </c>
      <c r="AH164" s="47">
        <f>IFERROR(ROUNDDOWN(INDEX('90% of ACR'!K:K,MATCH(H:H,'90% of ACR'!A:A,0))*IF(I164&gt;0,IF(O164&gt;0,$R$4*MAX(O164-V164,0),0),0)/I164,2),0)</f>
        <v>0</v>
      </c>
      <c r="AI164" s="82">
        <f>IFERROR(ROUNDDOWN(INDEX('90% of ACR'!R:R,MATCH(H:H,'90% of ACR'!A:A,0))*IF(J164&gt;0,IF(P164&gt;0,$R$4*MAX(P164-W164,0),0),0)/J164,2),0)</f>
        <v>0</v>
      </c>
      <c r="AJ164" s="45">
        <f t="shared" si="57"/>
        <v>0</v>
      </c>
      <c r="AK164" s="45">
        <f t="shared" si="57"/>
        <v>0</v>
      </c>
      <c r="AL164" s="47">
        <f t="shared" si="58"/>
        <v>0.43</v>
      </c>
      <c r="AM164" s="47">
        <f t="shared" si="58"/>
        <v>0.92</v>
      </c>
      <c r="AN164" s="83">
        <f>IFERROR(INDEX('Fee Calc'!P:P,MATCH(C164,'Fee Calc'!F:F,0)),0)</f>
        <v>865.14167475421596</v>
      </c>
      <c r="AO164" s="83">
        <f>IFERROR(INDEX('Fee Calc'!Q:Q,MATCH(C164,'Fee Calc'!F:F,0)),0)</f>
        <v>55.221809026864854</v>
      </c>
      <c r="AP164" s="83">
        <f t="shared" si="59"/>
        <v>920.36348378108084</v>
      </c>
      <c r="AQ164" s="70">
        <f t="shared" si="60"/>
        <v>393.02465920600253</v>
      </c>
      <c r="AR164" s="70">
        <f t="shared" si="61"/>
        <v>196.51232960300126</v>
      </c>
      <c r="AS164" s="70">
        <f t="shared" si="62"/>
        <v>196.51232960300126</v>
      </c>
    </row>
    <row r="165" spans="1:45">
      <c r="A165" s="104" t="s">
        <v>1431</v>
      </c>
      <c r="B165" s="124" t="s">
        <v>1431</v>
      </c>
      <c r="C165" s="31" t="s">
        <v>1432</v>
      </c>
      <c r="D165" s="125" t="s">
        <v>1432</v>
      </c>
      <c r="E165" s="119" t="s">
        <v>2630</v>
      </c>
      <c r="F165" s="100" t="s">
        <v>2279</v>
      </c>
      <c r="G165" s="100" t="s">
        <v>227</v>
      </c>
      <c r="H165" s="43" t="str">
        <f t="shared" si="45"/>
        <v>Urban MRSA West</v>
      </c>
      <c r="I165" s="45">
        <f>INDEX('Fee Calc'!M:M,MATCH(C:C,'Fee Calc'!F:F,0))</f>
        <v>813050.68179079262</v>
      </c>
      <c r="J165" s="45">
        <f>INDEX('Fee Calc'!L:L,MATCH(C:C,'Fee Calc'!F:F,0))</f>
        <v>0</v>
      </c>
      <c r="K165" s="45">
        <f t="shared" si="46"/>
        <v>813050.68179079262</v>
      </c>
      <c r="L165" s="45">
        <v>505855.66</v>
      </c>
      <c r="M165" s="45">
        <v>0</v>
      </c>
      <c r="N165" s="45">
        <f t="shared" si="47"/>
        <v>505855.66</v>
      </c>
      <c r="O165" s="45">
        <v>170909.02688184904</v>
      </c>
      <c r="P165" s="45">
        <v>0</v>
      </c>
      <c r="Q165" s="45">
        <f t="shared" si="48"/>
        <v>170909.02688184904</v>
      </c>
      <c r="R165" s="45" t="str">
        <f t="shared" si="49"/>
        <v>Yes</v>
      </c>
      <c r="S165" s="46" t="str">
        <f t="shared" si="49"/>
        <v>No</v>
      </c>
      <c r="T165" s="47">
        <f>ROUND(INDEX(Summary!H:H,MATCH(H:H,Summary!A:A,0)),2)</f>
        <v>0.28999999999999998</v>
      </c>
      <c r="U165" s="47">
        <f>ROUND(INDEX(Summary!I:I,MATCH(H:H,Summary!A:A,0)),2)</f>
        <v>0.79</v>
      </c>
      <c r="V165" s="81">
        <f t="shared" si="50"/>
        <v>235784.69771932985</v>
      </c>
      <c r="W165" s="81">
        <f t="shared" si="50"/>
        <v>0</v>
      </c>
      <c r="X165" s="45">
        <f t="shared" si="51"/>
        <v>235784.69771932985</v>
      </c>
      <c r="Y165" s="45" t="s">
        <v>2752</v>
      </c>
      <c r="Z165" s="45" t="str">
        <f t="shared" si="52"/>
        <v>No</v>
      </c>
      <c r="AA165" s="45" t="str">
        <f t="shared" si="52"/>
        <v>No</v>
      </c>
      <c r="AB165" s="45" t="str">
        <f t="shared" si="53"/>
        <v>No</v>
      </c>
      <c r="AC165" s="82">
        <f t="shared" si="54"/>
        <v>0</v>
      </c>
      <c r="AD165" s="82">
        <f t="shared" si="54"/>
        <v>0</v>
      </c>
      <c r="AE165" s="45">
        <f t="shared" si="55"/>
        <v>0</v>
      </c>
      <c r="AF165" s="45">
        <f t="shared" si="55"/>
        <v>0</v>
      </c>
      <c r="AG165" s="45">
        <f t="shared" si="56"/>
        <v>0</v>
      </c>
      <c r="AH165" s="47">
        <f>IFERROR(ROUNDDOWN(INDEX('90% of ACR'!K:K,MATCH(H:H,'90% of ACR'!A:A,0))*IF(I165&gt;0,IF(O165&gt;0,$R$4*MAX(O165-V165,0),0),0)/I165,2),0)</f>
        <v>0</v>
      </c>
      <c r="AI165" s="82">
        <f>IFERROR(ROUNDDOWN(INDEX('90% of ACR'!R:R,MATCH(H:H,'90% of ACR'!A:A,0))*IF(J165&gt;0,IF(P165&gt;0,$R$4*MAX(P165-W165,0),0),0)/J165,2),0)</f>
        <v>0</v>
      </c>
      <c r="AJ165" s="45">
        <f t="shared" si="57"/>
        <v>0</v>
      </c>
      <c r="AK165" s="45">
        <f t="shared" si="57"/>
        <v>0</v>
      </c>
      <c r="AL165" s="47">
        <f t="shared" si="58"/>
        <v>0.28999999999999998</v>
      </c>
      <c r="AM165" s="47">
        <f t="shared" si="58"/>
        <v>0.79</v>
      </c>
      <c r="AN165" s="83">
        <f>IFERROR(INDEX('Fee Calc'!P:P,MATCH(C165,'Fee Calc'!F:F,0)),0)</f>
        <v>235784.69771932985</v>
      </c>
      <c r="AO165" s="83">
        <f>IFERROR(INDEX('Fee Calc'!Q:Q,MATCH(C165,'Fee Calc'!F:F,0)),0)</f>
        <v>14903.833840892583</v>
      </c>
      <c r="AP165" s="83">
        <f t="shared" si="59"/>
        <v>250688.53156022244</v>
      </c>
      <c r="AQ165" s="70">
        <f t="shared" si="60"/>
        <v>107052.0250092249</v>
      </c>
      <c r="AR165" s="70">
        <f t="shared" si="61"/>
        <v>53526.012504612452</v>
      </c>
      <c r="AS165" s="70">
        <f t="shared" si="62"/>
        <v>53526.012504612452</v>
      </c>
    </row>
    <row r="166" spans="1:45">
      <c r="A166" s="104" t="s">
        <v>37</v>
      </c>
      <c r="B166" s="124" t="s">
        <v>1546</v>
      </c>
      <c r="C166" s="31" t="s">
        <v>38</v>
      </c>
      <c r="D166" s="125" t="s">
        <v>38</v>
      </c>
      <c r="E166" s="119" t="s">
        <v>2848</v>
      </c>
      <c r="F166" s="100" t="s">
        <v>2279</v>
      </c>
      <c r="G166" s="100" t="s">
        <v>223</v>
      </c>
      <c r="H166" s="43" t="str">
        <f t="shared" si="45"/>
        <v>Urban Dallas</v>
      </c>
      <c r="I166" s="45">
        <f>INDEX('Fee Calc'!M:M,MATCH(C:C,'Fee Calc'!F:F,0))</f>
        <v>508448.4546110818</v>
      </c>
      <c r="J166" s="45">
        <f>INDEX('Fee Calc'!L:L,MATCH(C:C,'Fee Calc'!F:F,0))</f>
        <v>315884.90114455787</v>
      </c>
      <c r="K166" s="45">
        <f t="shared" si="46"/>
        <v>824333.35575563973</v>
      </c>
      <c r="L166" s="45">
        <v>405752.2</v>
      </c>
      <c r="M166" s="45">
        <v>194638.16</v>
      </c>
      <c r="N166" s="45">
        <f t="shared" si="47"/>
        <v>600390.36</v>
      </c>
      <c r="O166" s="45">
        <v>1327356.3343097321</v>
      </c>
      <c r="P166" s="45">
        <v>467664.43741227768</v>
      </c>
      <c r="Q166" s="45">
        <f t="shared" si="48"/>
        <v>1795020.7717220099</v>
      </c>
      <c r="R166" s="45" t="str">
        <f t="shared" si="49"/>
        <v>Yes</v>
      </c>
      <c r="S166" s="46" t="str">
        <f t="shared" si="49"/>
        <v>Yes</v>
      </c>
      <c r="T166" s="47">
        <f>ROUND(INDEX(Summary!H:H,MATCH(H:H,Summary!A:A,0)),2)</f>
        <v>0.54</v>
      </c>
      <c r="U166" s="47">
        <f>ROUND(INDEX(Summary!I:I,MATCH(H:H,Summary!A:A,0)),2)</f>
        <v>0.27</v>
      </c>
      <c r="V166" s="81">
        <f t="shared" si="50"/>
        <v>274562.16548998421</v>
      </c>
      <c r="W166" s="81">
        <f t="shared" si="50"/>
        <v>85288.923309030622</v>
      </c>
      <c r="X166" s="45">
        <f t="shared" si="51"/>
        <v>359851.0887990148</v>
      </c>
      <c r="Y166" s="45" t="s">
        <v>2752</v>
      </c>
      <c r="Z166" s="45" t="str">
        <f t="shared" si="52"/>
        <v>Yes</v>
      </c>
      <c r="AA166" s="45" t="str">
        <f t="shared" si="52"/>
        <v>Yes</v>
      </c>
      <c r="AB166" s="45" t="str">
        <f t="shared" si="53"/>
        <v>Yes</v>
      </c>
      <c r="AC166" s="82">
        <f t="shared" si="54"/>
        <v>1.44</v>
      </c>
      <c r="AD166" s="82">
        <f t="shared" si="54"/>
        <v>0.84</v>
      </c>
      <c r="AE166" s="45">
        <f t="shared" si="55"/>
        <v>732165.77463995782</v>
      </c>
      <c r="AF166" s="45">
        <f t="shared" si="55"/>
        <v>265343.31696142862</v>
      </c>
      <c r="AG166" s="45">
        <f t="shared" si="56"/>
        <v>997509.09160138643</v>
      </c>
      <c r="AH166" s="47">
        <f>IFERROR(ROUNDDOWN(INDEX('90% of ACR'!K:K,MATCH(H:H,'90% of ACR'!A:A,0))*IF(I166&gt;0,IF(O166&gt;0,$R$4*MAX(O166-V166,0),0),0)/I166,2),0)</f>
        <v>1.44</v>
      </c>
      <c r="AI166" s="82">
        <f>IFERROR(ROUNDDOWN(INDEX('90% of ACR'!R:R,MATCH(H:H,'90% of ACR'!A:A,0))*IF(J166&gt;0,IF(P166&gt;0,$R$4*MAX(P166-W166,0),0),0)/J166,2),0)</f>
        <v>0.84</v>
      </c>
      <c r="AJ166" s="45">
        <f t="shared" si="57"/>
        <v>732165.77463995782</v>
      </c>
      <c r="AK166" s="45">
        <f t="shared" si="57"/>
        <v>265343.31696142862</v>
      </c>
      <c r="AL166" s="47">
        <f t="shared" si="58"/>
        <v>1.98</v>
      </c>
      <c r="AM166" s="47">
        <f t="shared" si="58"/>
        <v>1.1099999999999999</v>
      </c>
      <c r="AN166" s="83">
        <f>IFERROR(INDEX('Fee Calc'!P:P,MATCH(C166,'Fee Calc'!F:F,0)),0)</f>
        <v>1357360.1804004011</v>
      </c>
      <c r="AO166" s="83">
        <f>IFERROR(INDEX('Fee Calc'!Q:Q,MATCH(C166,'Fee Calc'!F:F,0)),0)</f>
        <v>83548.575760197215</v>
      </c>
      <c r="AP166" s="83">
        <f t="shared" si="59"/>
        <v>1440908.7561605982</v>
      </c>
      <c r="AQ166" s="70">
        <f t="shared" si="60"/>
        <v>615314.14796077262</v>
      </c>
      <c r="AR166" s="70">
        <f t="shared" si="61"/>
        <v>307657.07398038631</v>
      </c>
      <c r="AS166" s="70">
        <f t="shared" si="62"/>
        <v>307657.07398038631</v>
      </c>
    </row>
    <row r="167" spans="1:45">
      <c r="A167" s="104" t="s">
        <v>1409</v>
      </c>
      <c r="B167" s="124" t="s">
        <v>1409</v>
      </c>
      <c r="C167" s="31" t="s">
        <v>1647</v>
      </c>
      <c r="D167" s="125" t="s">
        <v>1647</v>
      </c>
      <c r="E167" s="119" t="s">
        <v>2642</v>
      </c>
      <c r="F167" s="100" t="s">
        <v>2279</v>
      </c>
      <c r="G167" s="100" t="s">
        <v>300</v>
      </c>
      <c r="H167" s="43" t="str">
        <f t="shared" si="45"/>
        <v>Urban Harris</v>
      </c>
      <c r="I167" s="45">
        <f>INDEX('Fee Calc'!M:M,MATCH(C:C,'Fee Calc'!F:F,0))</f>
        <v>4960869.9531304045</v>
      </c>
      <c r="J167" s="45">
        <f>INDEX('Fee Calc'!L:L,MATCH(C:C,'Fee Calc'!F:F,0))</f>
        <v>3898369.5512068574</v>
      </c>
      <c r="K167" s="45">
        <f t="shared" si="46"/>
        <v>8859239.5043372624</v>
      </c>
      <c r="L167" s="45">
        <v>2311414.4300000002</v>
      </c>
      <c r="M167" s="45">
        <v>1241553.3700000001</v>
      </c>
      <c r="N167" s="45">
        <f t="shared" si="47"/>
        <v>3552967.8000000003</v>
      </c>
      <c r="O167" s="45">
        <v>7567500.5798988193</v>
      </c>
      <c r="P167" s="45">
        <v>1661991.4535789124</v>
      </c>
      <c r="Q167" s="45">
        <f t="shared" si="48"/>
        <v>9229492.033477731</v>
      </c>
      <c r="R167" s="45" t="str">
        <f t="shared" si="49"/>
        <v>Yes</v>
      </c>
      <c r="S167" s="46" t="str">
        <f t="shared" si="49"/>
        <v>Yes</v>
      </c>
      <c r="T167" s="47">
        <f>ROUND(INDEX(Summary!H:H,MATCH(H:H,Summary!A:A,0)),2)</f>
        <v>1.57</v>
      </c>
      <c r="U167" s="47">
        <f>ROUND(INDEX(Summary!I:I,MATCH(H:H,Summary!A:A,0)),2)</f>
        <v>0.3</v>
      </c>
      <c r="V167" s="81">
        <f t="shared" si="50"/>
        <v>7788565.8264147351</v>
      </c>
      <c r="W167" s="81">
        <f t="shared" si="50"/>
        <v>1169510.8653620572</v>
      </c>
      <c r="X167" s="45">
        <f t="shared" si="51"/>
        <v>8958076.6917767916</v>
      </c>
      <c r="Y167" s="45" t="s">
        <v>2752</v>
      </c>
      <c r="Z167" s="45" t="str">
        <f t="shared" si="52"/>
        <v>No</v>
      </c>
      <c r="AA167" s="45" t="str">
        <f t="shared" si="52"/>
        <v>Yes</v>
      </c>
      <c r="AB167" s="45" t="str">
        <f t="shared" si="53"/>
        <v>Yes</v>
      </c>
      <c r="AC167" s="82">
        <f t="shared" si="54"/>
        <v>0</v>
      </c>
      <c r="AD167" s="82">
        <f t="shared" si="54"/>
        <v>0.09</v>
      </c>
      <c r="AE167" s="45">
        <f t="shared" si="55"/>
        <v>0</v>
      </c>
      <c r="AF167" s="45">
        <f t="shared" si="55"/>
        <v>350853.25960861717</v>
      </c>
      <c r="AG167" s="45">
        <f t="shared" si="56"/>
        <v>350853.25960861717</v>
      </c>
      <c r="AH167" s="47">
        <f>IFERROR(ROUNDDOWN(INDEX('90% of ACR'!K:K,MATCH(H:H,'90% of ACR'!A:A,0))*IF(I167&gt;0,IF(O167&gt;0,$R$4*MAX(O167-V167,0),0),0)/I167,2),0)</f>
        <v>0</v>
      </c>
      <c r="AI167" s="82">
        <f>IFERROR(ROUNDDOWN(INDEX('90% of ACR'!R:R,MATCH(H:H,'90% of ACR'!A:A,0))*IF(J167&gt;0,IF(P167&gt;0,$R$4*MAX(P167-W167,0),0),0)/J167,2),0)</f>
        <v>0.08</v>
      </c>
      <c r="AJ167" s="45">
        <f t="shared" si="57"/>
        <v>0</v>
      </c>
      <c r="AK167" s="45">
        <f t="shared" si="57"/>
        <v>311869.56409654859</v>
      </c>
      <c r="AL167" s="47">
        <f t="shared" si="58"/>
        <v>1.57</v>
      </c>
      <c r="AM167" s="47">
        <f t="shared" si="58"/>
        <v>0.38</v>
      </c>
      <c r="AN167" s="83">
        <f>IFERROR(INDEX('Fee Calc'!P:P,MATCH(C167,'Fee Calc'!F:F,0)),0)</f>
        <v>9269946.2558733411</v>
      </c>
      <c r="AO167" s="83">
        <f>IFERROR(INDEX('Fee Calc'!Q:Q,MATCH(C167,'Fee Calc'!F:F,0)),0)</f>
        <v>572687.26411705534</v>
      </c>
      <c r="AP167" s="83">
        <f t="shared" si="59"/>
        <v>9842633.5199903958</v>
      </c>
      <c r="AQ167" s="70">
        <f t="shared" si="60"/>
        <v>4203119.4773085387</v>
      </c>
      <c r="AR167" s="70">
        <f t="shared" si="61"/>
        <v>2101559.7386542694</v>
      </c>
      <c r="AS167" s="70">
        <f t="shared" si="62"/>
        <v>2101559.7386542694</v>
      </c>
    </row>
    <row r="168" spans="1:45">
      <c r="A168" s="104" t="s">
        <v>1001</v>
      </c>
      <c r="B168" s="124" t="s">
        <v>1001</v>
      </c>
      <c r="C168" s="31" t="s">
        <v>1002</v>
      </c>
      <c r="D168" s="125" t="s">
        <v>1002</v>
      </c>
      <c r="E168" s="119" t="s">
        <v>2849</v>
      </c>
      <c r="F168" s="100" t="s">
        <v>2279</v>
      </c>
      <c r="G168" s="100" t="s">
        <v>1486</v>
      </c>
      <c r="H168" s="43" t="str">
        <f t="shared" si="45"/>
        <v>Urban MRSA Central</v>
      </c>
      <c r="I168" s="45">
        <f>INDEX('Fee Calc'!M:M,MATCH(C:C,'Fee Calc'!F:F,0))</f>
        <v>4627461.9835971696</v>
      </c>
      <c r="J168" s="45">
        <f>INDEX('Fee Calc'!L:L,MATCH(C:C,'Fee Calc'!F:F,0))</f>
        <v>4228952.5659668725</v>
      </c>
      <c r="K168" s="45">
        <f t="shared" si="46"/>
        <v>8856414.5495640412</v>
      </c>
      <c r="L168" s="45">
        <v>1425155.26</v>
      </c>
      <c r="M168" s="45">
        <v>2165711.58</v>
      </c>
      <c r="N168" s="45">
        <f t="shared" si="47"/>
        <v>3590866.84</v>
      </c>
      <c r="O168" s="45">
        <v>5447552.3111925535</v>
      </c>
      <c r="P168" s="45">
        <v>1832592.2355062554</v>
      </c>
      <c r="Q168" s="45">
        <f t="shared" si="48"/>
        <v>7280144.5466988087</v>
      </c>
      <c r="R168" s="45" t="str">
        <f t="shared" si="49"/>
        <v>Yes</v>
      </c>
      <c r="S168" s="46" t="str">
        <f t="shared" si="49"/>
        <v>Yes</v>
      </c>
      <c r="T168" s="47">
        <f>ROUND(INDEX(Summary!H:H,MATCH(H:H,Summary!A:A,0)),2)</f>
        <v>0.43</v>
      </c>
      <c r="U168" s="47">
        <f>ROUND(INDEX(Summary!I:I,MATCH(H:H,Summary!A:A,0)),2)</f>
        <v>0.92</v>
      </c>
      <c r="V168" s="81">
        <f t="shared" si="50"/>
        <v>1989808.652946783</v>
      </c>
      <c r="W168" s="81">
        <f t="shared" si="50"/>
        <v>3890636.3606895227</v>
      </c>
      <c r="X168" s="45">
        <f t="shared" si="51"/>
        <v>5880445.0136363059</v>
      </c>
      <c r="Y168" s="45" t="s">
        <v>2752</v>
      </c>
      <c r="Z168" s="45" t="str">
        <f t="shared" si="52"/>
        <v>Yes</v>
      </c>
      <c r="AA168" s="45" t="str">
        <f t="shared" si="52"/>
        <v>No</v>
      </c>
      <c r="AB168" s="45" t="str">
        <f t="shared" si="53"/>
        <v>Yes</v>
      </c>
      <c r="AC168" s="82">
        <f t="shared" si="54"/>
        <v>0.52</v>
      </c>
      <c r="AD168" s="82">
        <f t="shared" si="54"/>
        <v>0</v>
      </c>
      <c r="AE168" s="45">
        <f t="shared" si="55"/>
        <v>2406280.2314705281</v>
      </c>
      <c r="AF168" s="45">
        <f t="shared" si="55"/>
        <v>0</v>
      </c>
      <c r="AG168" s="45">
        <f t="shared" si="56"/>
        <v>2406280.2314705281</v>
      </c>
      <c r="AH168" s="47">
        <f>IFERROR(ROUNDDOWN(INDEX('90% of ACR'!K:K,MATCH(H:H,'90% of ACR'!A:A,0))*IF(I168&gt;0,IF(O168&gt;0,$R$4*MAX(O168-V168,0),0),0)/I168,2),0)</f>
        <v>0.52</v>
      </c>
      <c r="AI168" s="82">
        <f>IFERROR(ROUNDDOWN(INDEX('90% of ACR'!R:R,MATCH(H:H,'90% of ACR'!A:A,0))*IF(J168&gt;0,IF(P168&gt;0,$R$4*MAX(P168-W168,0),0),0)/J168,2),0)</f>
        <v>0</v>
      </c>
      <c r="AJ168" s="45">
        <f t="shared" si="57"/>
        <v>2406280.2314705281</v>
      </c>
      <c r="AK168" s="45">
        <f t="shared" si="57"/>
        <v>0</v>
      </c>
      <c r="AL168" s="47">
        <f t="shared" si="58"/>
        <v>0.95</v>
      </c>
      <c r="AM168" s="47">
        <f t="shared" si="58"/>
        <v>0.92</v>
      </c>
      <c r="AN168" s="83">
        <f>IFERROR(INDEX('Fee Calc'!P:P,MATCH(C168,'Fee Calc'!F:F,0)),0)</f>
        <v>8286725.245106834</v>
      </c>
      <c r="AO168" s="83">
        <f>IFERROR(INDEX('Fee Calc'!Q:Q,MATCH(C168,'Fee Calc'!F:F,0)),0)</f>
        <v>510456.70182141481</v>
      </c>
      <c r="AP168" s="83">
        <f t="shared" si="59"/>
        <v>8797181.9469282497</v>
      </c>
      <c r="AQ168" s="70">
        <f t="shared" si="60"/>
        <v>3756678.2011606642</v>
      </c>
      <c r="AR168" s="70">
        <f t="shared" si="61"/>
        <v>1878339.1005803321</v>
      </c>
      <c r="AS168" s="70">
        <f t="shared" si="62"/>
        <v>1878339.1005803321</v>
      </c>
    </row>
    <row r="169" spans="1:45">
      <c r="A169" s="104" t="s">
        <v>644</v>
      </c>
      <c r="B169" s="124" t="s">
        <v>644</v>
      </c>
      <c r="C169" s="31" t="s">
        <v>645</v>
      </c>
      <c r="D169" s="125" t="s">
        <v>645</v>
      </c>
      <c r="E169" s="119" t="s">
        <v>2649</v>
      </c>
      <c r="F169" s="100" t="s">
        <v>2279</v>
      </c>
      <c r="G169" s="100" t="s">
        <v>1514</v>
      </c>
      <c r="H169" s="43" t="str">
        <f t="shared" si="45"/>
        <v>Urban Hidalgo</v>
      </c>
      <c r="I169" s="45">
        <f>INDEX('Fee Calc'!M:M,MATCH(C:C,'Fee Calc'!F:F,0))</f>
        <v>13887842.846304027</v>
      </c>
      <c r="J169" s="45">
        <f>INDEX('Fee Calc'!L:L,MATCH(C:C,'Fee Calc'!F:F,0))</f>
        <v>5427599.2076269481</v>
      </c>
      <c r="K169" s="45">
        <f t="shared" si="46"/>
        <v>19315442.053930975</v>
      </c>
      <c r="L169" s="45">
        <v>3488942.99</v>
      </c>
      <c r="M169" s="45">
        <v>2943472.46</v>
      </c>
      <c r="N169" s="45">
        <f t="shared" si="47"/>
        <v>6432415.4500000002</v>
      </c>
      <c r="O169" s="45">
        <v>20206481.630338818</v>
      </c>
      <c r="P169" s="45">
        <v>4566947.1643940778</v>
      </c>
      <c r="Q169" s="45">
        <f t="shared" si="48"/>
        <v>24773428.794732895</v>
      </c>
      <c r="R169" s="45" t="str">
        <f t="shared" si="49"/>
        <v>Yes</v>
      </c>
      <c r="S169" s="46" t="str">
        <f t="shared" si="49"/>
        <v>Yes</v>
      </c>
      <c r="T169" s="47">
        <f>ROUND(INDEX(Summary!H:H,MATCH(H:H,Summary!A:A,0)),2)</f>
        <v>0.63</v>
      </c>
      <c r="U169" s="47">
        <f>ROUND(INDEX(Summary!I:I,MATCH(H:H,Summary!A:A,0)),2)</f>
        <v>0.48</v>
      </c>
      <c r="V169" s="81">
        <f t="shared" si="50"/>
        <v>8749340.9931715373</v>
      </c>
      <c r="W169" s="81">
        <f t="shared" si="50"/>
        <v>2605247.6196609349</v>
      </c>
      <c r="X169" s="45">
        <f t="shared" si="51"/>
        <v>11354588.612832472</v>
      </c>
      <c r="Y169" s="45" t="s">
        <v>2752</v>
      </c>
      <c r="Z169" s="45" t="str">
        <f t="shared" si="52"/>
        <v>Yes</v>
      </c>
      <c r="AA169" s="45" t="str">
        <f t="shared" si="52"/>
        <v>Yes</v>
      </c>
      <c r="AB169" s="45" t="str">
        <f t="shared" si="53"/>
        <v>Yes</v>
      </c>
      <c r="AC169" s="82">
        <f t="shared" si="54"/>
        <v>0.56999999999999995</v>
      </c>
      <c r="AD169" s="82">
        <f t="shared" si="54"/>
        <v>0.25</v>
      </c>
      <c r="AE169" s="45">
        <f t="shared" si="55"/>
        <v>7916070.422393295</v>
      </c>
      <c r="AF169" s="45">
        <f t="shared" si="55"/>
        <v>1356899.801906737</v>
      </c>
      <c r="AG169" s="45">
        <f t="shared" si="56"/>
        <v>9272970.2243000325</v>
      </c>
      <c r="AH169" s="47">
        <f>IFERROR(ROUNDDOWN(INDEX('90% of ACR'!K:K,MATCH(H:H,'90% of ACR'!A:A,0))*IF(I169&gt;0,IF(O169&gt;0,$R$4*MAX(O169-V169,0),0),0)/I169,2),0)</f>
        <v>0.56999999999999995</v>
      </c>
      <c r="AI169" s="82">
        <f>IFERROR(ROUNDDOWN(INDEX('90% of ACR'!R:R,MATCH(H:H,'90% of ACR'!A:A,0))*IF(J169&gt;0,IF(P169&gt;0,$R$4*MAX(P169-W169,0),0),0)/J169,2),0)</f>
        <v>0.24</v>
      </c>
      <c r="AJ169" s="45">
        <f t="shared" si="57"/>
        <v>7916070.422393295</v>
      </c>
      <c r="AK169" s="45">
        <f t="shared" si="57"/>
        <v>1302623.8098304674</v>
      </c>
      <c r="AL169" s="47">
        <f t="shared" si="58"/>
        <v>1.2</v>
      </c>
      <c r="AM169" s="47">
        <f t="shared" si="58"/>
        <v>0.72</v>
      </c>
      <c r="AN169" s="83">
        <f>IFERROR(INDEX('Fee Calc'!P:P,MATCH(C169,'Fee Calc'!F:F,0)),0)</f>
        <v>20573282.845056236</v>
      </c>
      <c r="AO169" s="83">
        <f>IFERROR(INDEX('Fee Calc'!Q:Q,MATCH(C169,'Fee Calc'!F:F,0)),0)</f>
        <v>1263777.0137868021</v>
      </c>
      <c r="AP169" s="83">
        <f t="shared" si="59"/>
        <v>21837059.858843036</v>
      </c>
      <c r="AQ169" s="70">
        <f t="shared" si="60"/>
        <v>9325123.3456414584</v>
      </c>
      <c r="AR169" s="70">
        <f t="shared" si="61"/>
        <v>4662561.6728207292</v>
      </c>
      <c r="AS169" s="70">
        <f t="shared" si="62"/>
        <v>4662561.6728207292</v>
      </c>
    </row>
    <row r="170" spans="1:45">
      <c r="A170" s="104" t="s">
        <v>641</v>
      </c>
      <c r="B170" s="124" t="s">
        <v>641</v>
      </c>
      <c r="C170" s="31" t="s">
        <v>642</v>
      </c>
      <c r="D170" s="125" t="s">
        <v>642</v>
      </c>
      <c r="E170" s="119" t="s">
        <v>2677</v>
      </c>
      <c r="F170" s="100" t="s">
        <v>2279</v>
      </c>
      <c r="G170" s="100" t="s">
        <v>1514</v>
      </c>
      <c r="H170" s="43" t="str">
        <f t="shared" si="45"/>
        <v>Urban Hidalgo</v>
      </c>
      <c r="I170" s="45">
        <f>INDEX('Fee Calc'!M:M,MATCH(C:C,'Fee Calc'!F:F,0))</f>
        <v>20272363.767895415</v>
      </c>
      <c r="J170" s="45">
        <f>INDEX('Fee Calc'!L:L,MATCH(C:C,'Fee Calc'!F:F,0))</f>
        <v>10187512.171782114</v>
      </c>
      <c r="K170" s="45">
        <f t="shared" si="46"/>
        <v>30459875.939677529</v>
      </c>
      <c r="L170" s="45">
        <v>9048965.6799999997</v>
      </c>
      <c r="M170" s="45">
        <v>3209832.97</v>
      </c>
      <c r="N170" s="45">
        <f t="shared" si="47"/>
        <v>12258798.65</v>
      </c>
      <c r="O170" s="45">
        <v>23809823.115953866</v>
      </c>
      <c r="P170" s="45">
        <v>5721895.7639857791</v>
      </c>
      <c r="Q170" s="45">
        <f t="shared" si="48"/>
        <v>29531718.879939646</v>
      </c>
      <c r="R170" s="45" t="str">
        <f t="shared" si="49"/>
        <v>Yes</v>
      </c>
      <c r="S170" s="46" t="str">
        <f t="shared" si="49"/>
        <v>Yes</v>
      </c>
      <c r="T170" s="47">
        <f>ROUND(INDEX(Summary!H:H,MATCH(H:H,Summary!A:A,0)),2)</f>
        <v>0.63</v>
      </c>
      <c r="U170" s="47">
        <f>ROUND(INDEX(Summary!I:I,MATCH(H:H,Summary!A:A,0)),2)</f>
        <v>0.48</v>
      </c>
      <c r="V170" s="81">
        <f t="shared" si="50"/>
        <v>12771589.173774112</v>
      </c>
      <c r="W170" s="81">
        <f t="shared" si="50"/>
        <v>4890005.8424554141</v>
      </c>
      <c r="X170" s="45">
        <f t="shared" si="51"/>
        <v>17661595.016229525</v>
      </c>
      <c r="Y170" s="45" t="s">
        <v>2752</v>
      </c>
      <c r="Z170" s="45" t="str">
        <f t="shared" si="52"/>
        <v>Yes</v>
      </c>
      <c r="AA170" s="45" t="str">
        <f t="shared" si="52"/>
        <v>Yes</v>
      </c>
      <c r="AB170" s="45" t="str">
        <f t="shared" si="53"/>
        <v>Yes</v>
      </c>
      <c r="AC170" s="82">
        <f t="shared" si="54"/>
        <v>0.38</v>
      </c>
      <c r="AD170" s="82">
        <f t="shared" si="54"/>
        <v>0.06</v>
      </c>
      <c r="AE170" s="45">
        <f t="shared" si="55"/>
        <v>7703498.2318002582</v>
      </c>
      <c r="AF170" s="45">
        <f t="shared" si="55"/>
        <v>611250.73030692677</v>
      </c>
      <c r="AG170" s="45">
        <f t="shared" si="56"/>
        <v>8314748.9621071853</v>
      </c>
      <c r="AH170" s="47">
        <f>IFERROR(ROUNDDOWN(INDEX('90% of ACR'!K:K,MATCH(H:H,'90% of ACR'!A:A,0))*IF(I170&gt;0,IF(O170&gt;0,$R$4*MAX(O170-V170,0),0),0)/I170,2),0)</f>
        <v>0.37</v>
      </c>
      <c r="AI170" s="82">
        <f>IFERROR(ROUNDDOWN(INDEX('90% of ACR'!R:R,MATCH(H:H,'90% of ACR'!A:A,0))*IF(J170&gt;0,IF(P170&gt;0,$R$4*MAX(P170-W170,0),0),0)/J170,2),0)</f>
        <v>0.05</v>
      </c>
      <c r="AJ170" s="45">
        <f t="shared" si="57"/>
        <v>7500774.5941213034</v>
      </c>
      <c r="AK170" s="45">
        <f t="shared" si="57"/>
        <v>509375.60858910572</v>
      </c>
      <c r="AL170" s="47">
        <f t="shared" si="58"/>
        <v>1</v>
      </c>
      <c r="AM170" s="47">
        <f t="shared" si="58"/>
        <v>0.53</v>
      </c>
      <c r="AN170" s="83">
        <f>IFERROR(INDEX('Fee Calc'!P:P,MATCH(C170,'Fee Calc'!F:F,0)),0)</f>
        <v>25671745.218939938</v>
      </c>
      <c r="AO170" s="83">
        <f>IFERROR(INDEX('Fee Calc'!Q:Q,MATCH(C170,'Fee Calc'!F:F,0)),0)</f>
        <v>1578397.270000549</v>
      </c>
      <c r="AP170" s="83">
        <f t="shared" si="59"/>
        <v>27250142.488940485</v>
      </c>
      <c r="AQ170" s="70">
        <f t="shared" si="60"/>
        <v>11636682.847337233</v>
      </c>
      <c r="AR170" s="70">
        <f t="shared" si="61"/>
        <v>5818341.4236686165</v>
      </c>
      <c r="AS170" s="70">
        <f t="shared" si="62"/>
        <v>5818341.4236686165</v>
      </c>
    </row>
    <row r="171" spans="1:45">
      <c r="A171" s="104" t="s">
        <v>756</v>
      </c>
      <c r="B171" s="124" t="s">
        <v>756</v>
      </c>
      <c r="C171" s="31" t="s">
        <v>757</v>
      </c>
      <c r="D171" s="125" t="s">
        <v>757</v>
      </c>
      <c r="E171" s="119" t="s">
        <v>2850</v>
      </c>
      <c r="F171" s="100" t="s">
        <v>2279</v>
      </c>
      <c r="G171" s="100" t="s">
        <v>1486</v>
      </c>
      <c r="H171" s="43" t="str">
        <f t="shared" si="45"/>
        <v>Urban MRSA Central</v>
      </c>
      <c r="I171" s="45">
        <f>INDEX('Fee Calc'!M:M,MATCH(C:C,'Fee Calc'!F:F,0))</f>
        <v>15102556.623227729</v>
      </c>
      <c r="J171" s="45">
        <f>INDEX('Fee Calc'!L:L,MATCH(C:C,'Fee Calc'!F:F,0))</f>
        <v>5641382.3250017799</v>
      </c>
      <c r="K171" s="45">
        <f t="shared" si="46"/>
        <v>20743938.948229507</v>
      </c>
      <c r="L171" s="45">
        <v>8290132.4900000002</v>
      </c>
      <c r="M171" s="45">
        <v>6209876.0300000003</v>
      </c>
      <c r="N171" s="45">
        <f t="shared" si="47"/>
        <v>14500008.52</v>
      </c>
      <c r="O171" s="45">
        <v>20078293.357218098</v>
      </c>
      <c r="P171" s="45">
        <v>7471415.6923749968</v>
      </c>
      <c r="Q171" s="45">
        <f t="shared" si="48"/>
        <v>27549709.049593095</v>
      </c>
      <c r="R171" s="45" t="str">
        <f t="shared" si="49"/>
        <v>Yes</v>
      </c>
      <c r="S171" s="46" t="str">
        <f t="shared" si="49"/>
        <v>Yes</v>
      </c>
      <c r="T171" s="47">
        <f>ROUND(INDEX(Summary!H:H,MATCH(H:H,Summary!A:A,0)),2)</f>
        <v>0.43</v>
      </c>
      <c r="U171" s="47">
        <f>ROUND(INDEX(Summary!I:I,MATCH(H:H,Summary!A:A,0)),2)</f>
        <v>0.92</v>
      </c>
      <c r="V171" s="81">
        <f t="shared" si="50"/>
        <v>6494099.3479879228</v>
      </c>
      <c r="W171" s="81">
        <f t="shared" si="50"/>
        <v>5190071.7390016373</v>
      </c>
      <c r="X171" s="45">
        <f t="shared" si="51"/>
        <v>11684171.086989559</v>
      </c>
      <c r="Y171" s="45" t="s">
        <v>2752</v>
      </c>
      <c r="Z171" s="45" t="str">
        <f t="shared" si="52"/>
        <v>Yes</v>
      </c>
      <c r="AA171" s="45" t="str">
        <f t="shared" si="52"/>
        <v>No</v>
      </c>
      <c r="AB171" s="45" t="str">
        <f t="shared" si="53"/>
        <v>Yes</v>
      </c>
      <c r="AC171" s="82">
        <f t="shared" si="54"/>
        <v>0.63</v>
      </c>
      <c r="AD171" s="82">
        <f t="shared" si="54"/>
        <v>0.28000000000000003</v>
      </c>
      <c r="AE171" s="45">
        <f t="shared" si="55"/>
        <v>9514610.6726334691</v>
      </c>
      <c r="AF171" s="45">
        <f t="shared" si="55"/>
        <v>1579587.0510004985</v>
      </c>
      <c r="AG171" s="45">
        <f t="shared" si="56"/>
        <v>11094197.723633967</v>
      </c>
      <c r="AH171" s="47">
        <f>IFERROR(ROUNDDOWN(INDEX('90% of ACR'!K:K,MATCH(H:H,'90% of ACR'!A:A,0))*IF(I171&gt;0,IF(O171&gt;0,$R$4*MAX(O171-V171,0),0),0)/I171,2),0)</f>
        <v>0.62</v>
      </c>
      <c r="AI171" s="82">
        <f>IFERROR(ROUNDDOWN(INDEX('90% of ACR'!R:R,MATCH(H:H,'90% of ACR'!A:A,0))*IF(J171&gt;0,IF(P171&gt;0,$R$4*MAX(P171-W171,0),0),0)/J171,2),0)</f>
        <v>0</v>
      </c>
      <c r="AJ171" s="45">
        <f t="shared" si="57"/>
        <v>9363585.106401192</v>
      </c>
      <c r="AK171" s="45">
        <f t="shared" si="57"/>
        <v>0</v>
      </c>
      <c r="AL171" s="47">
        <f t="shared" si="58"/>
        <v>1.05</v>
      </c>
      <c r="AM171" s="47">
        <f t="shared" si="58"/>
        <v>0.92</v>
      </c>
      <c r="AN171" s="83">
        <f>IFERROR(INDEX('Fee Calc'!P:P,MATCH(C171,'Fee Calc'!F:F,0)),0)</f>
        <v>21047756.193390753</v>
      </c>
      <c r="AO171" s="83">
        <f>IFERROR(INDEX('Fee Calc'!Q:Q,MATCH(C171,'Fee Calc'!F:F,0)),0)</f>
        <v>1300303.2734932911</v>
      </c>
      <c r="AP171" s="83">
        <f t="shared" si="59"/>
        <v>22348059.466884043</v>
      </c>
      <c r="AQ171" s="70">
        <f t="shared" si="60"/>
        <v>9543336.5302624274</v>
      </c>
      <c r="AR171" s="70">
        <f t="shared" si="61"/>
        <v>4771668.2651312137</v>
      </c>
      <c r="AS171" s="70">
        <f t="shared" si="62"/>
        <v>4771668.2651312137</v>
      </c>
    </row>
    <row r="172" spans="1:45">
      <c r="A172" s="104" t="s">
        <v>783</v>
      </c>
      <c r="B172" s="124" t="s">
        <v>783</v>
      </c>
      <c r="C172" s="31" t="s">
        <v>784</v>
      </c>
      <c r="D172" s="125" t="s">
        <v>784</v>
      </c>
      <c r="E172" s="119" t="s">
        <v>2554</v>
      </c>
      <c r="F172" s="100" t="s">
        <v>2279</v>
      </c>
      <c r="G172" s="100" t="s">
        <v>223</v>
      </c>
      <c r="H172" s="43" t="str">
        <f t="shared" si="45"/>
        <v>Urban Dallas</v>
      </c>
      <c r="I172" s="45">
        <f>INDEX('Fee Calc'!M:M,MATCH(C:C,'Fee Calc'!F:F,0))</f>
        <v>6580093.3488032604</v>
      </c>
      <c r="J172" s="45">
        <f>INDEX('Fee Calc'!L:L,MATCH(C:C,'Fee Calc'!F:F,0))</f>
        <v>2530654.7958269231</v>
      </c>
      <c r="K172" s="45">
        <f t="shared" si="46"/>
        <v>9110748.1446301825</v>
      </c>
      <c r="L172" s="45">
        <v>3047306.94</v>
      </c>
      <c r="M172" s="45">
        <v>2135230.85</v>
      </c>
      <c r="N172" s="45">
        <f t="shared" si="47"/>
        <v>5182537.79</v>
      </c>
      <c r="O172" s="45">
        <v>11036312.777263459</v>
      </c>
      <c r="P172" s="45">
        <v>5226833.1797575084</v>
      </c>
      <c r="Q172" s="45">
        <f t="shared" si="48"/>
        <v>16263145.957020968</v>
      </c>
      <c r="R172" s="45" t="str">
        <f t="shared" si="49"/>
        <v>Yes</v>
      </c>
      <c r="S172" s="46" t="str">
        <f t="shared" si="49"/>
        <v>Yes</v>
      </c>
      <c r="T172" s="47">
        <f>ROUND(INDEX(Summary!H:H,MATCH(H:H,Summary!A:A,0)),2)</f>
        <v>0.54</v>
      </c>
      <c r="U172" s="47">
        <f>ROUND(INDEX(Summary!I:I,MATCH(H:H,Summary!A:A,0)),2)</f>
        <v>0.27</v>
      </c>
      <c r="V172" s="81">
        <f t="shared" si="50"/>
        <v>3553250.4083537608</v>
      </c>
      <c r="W172" s="81">
        <f t="shared" si="50"/>
        <v>683276.79487326927</v>
      </c>
      <c r="X172" s="45">
        <f t="shared" si="51"/>
        <v>4236527.2032270301</v>
      </c>
      <c r="Y172" s="45" t="s">
        <v>2752</v>
      </c>
      <c r="Z172" s="45" t="str">
        <f t="shared" si="52"/>
        <v>Yes</v>
      </c>
      <c r="AA172" s="45" t="str">
        <f t="shared" si="52"/>
        <v>Yes</v>
      </c>
      <c r="AB172" s="45" t="str">
        <f t="shared" si="53"/>
        <v>Yes</v>
      </c>
      <c r="AC172" s="82">
        <f t="shared" si="54"/>
        <v>0.79</v>
      </c>
      <c r="AD172" s="82">
        <f t="shared" si="54"/>
        <v>1.25</v>
      </c>
      <c r="AE172" s="45">
        <f t="shared" si="55"/>
        <v>5198273.7455545757</v>
      </c>
      <c r="AF172" s="45">
        <f t="shared" si="55"/>
        <v>3163318.4947836539</v>
      </c>
      <c r="AG172" s="45">
        <f t="shared" si="56"/>
        <v>8361592.2403382296</v>
      </c>
      <c r="AH172" s="47">
        <f>IFERROR(ROUNDDOWN(INDEX('90% of ACR'!K:K,MATCH(H:H,'90% of ACR'!A:A,0))*IF(I172&gt;0,IF(O172&gt;0,$R$4*MAX(O172-V172,0),0),0)/I172,2),0)</f>
        <v>0.79</v>
      </c>
      <c r="AI172" s="82">
        <f>IFERROR(ROUNDDOWN(INDEX('90% of ACR'!R:R,MATCH(H:H,'90% of ACR'!A:A,0))*IF(J172&gt;0,IF(P172&gt;0,$R$4*MAX(P172-W172,0),0),0)/J172,2),0)</f>
        <v>1.25</v>
      </c>
      <c r="AJ172" s="45">
        <f t="shared" si="57"/>
        <v>5198273.7455545757</v>
      </c>
      <c r="AK172" s="45">
        <f t="shared" si="57"/>
        <v>3163318.4947836539</v>
      </c>
      <c r="AL172" s="47">
        <f t="shared" si="58"/>
        <v>1.33</v>
      </c>
      <c r="AM172" s="47">
        <f t="shared" si="58"/>
        <v>1.52</v>
      </c>
      <c r="AN172" s="83">
        <f>IFERROR(INDEX('Fee Calc'!P:P,MATCH(C172,'Fee Calc'!F:F,0)),0)</f>
        <v>12598119.443565261</v>
      </c>
      <c r="AO172" s="83">
        <f>IFERROR(INDEX('Fee Calc'!Q:Q,MATCH(C172,'Fee Calc'!F:F,0)),0)</f>
        <v>774512.40159487678</v>
      </c>
      <c r="AP172" s="83">
        <f t="shared" si="59"/>
        <v>13372631.845160138</v>
      </c>
      <c r="AQ172" s="70">
        <f t="shared" si="60"/>
        <v>5710541.7221024241</v>
      </c>
      <c r="AR172" s="70">
        <f t="shared" si="61"/>
        <v>2855270.8610512121</v>
      </c>
      <c r="AS172" s="70">
        <f t="shared" si="62"/>
        <v>2855270.8610512121</v>
      </c>
    </row>
    <row r="173" spans="1:45">
      <c r="A173" s="104" t="s">
        <v>506</v>
      </c>
      <c r="B173" s="124" t="s">
        <v>506</v>
      </c>
      <c r="C173" s="31" t="s">
        <v>507</v>
      </c>
      <c r="D173" s="125" t="s">
        <v>507</v>
      </c>
      <c r="E173" s="119" t="s">
        <v>2348</v>
      </c>
      <c r="F173" s="100" t="s">
        <v>2279</v>
      </c>
      <c r="G173" s="100" t="s">
        <v>1548</v>
      </c>
      <c r="H173" s="43" t="str">
        <f t="shared" si="45"/>
        <v>Urban Nueces</v>
      </c>
      <c r="I173" s="45">
        <f>INDEX('Fee Calc'!M:M,MATCH(C:C,'Fee Calc'!F:F,0))</f>
        <v>32947570.770086382</v>
      </c>
      <c r="J173" s="45">
        <f>INDEX('Fee Calc'!L:L,MATCH(C:C,'Fee Calc'!F:F,0))</f>
        <v>6299889.2798197297</v>
      </c>
      <c r="K173" s="45">
        <f t="shared" si="46"/>
        <v>39247460.049906112</v>
      </c>
      <c r="L173" s="45">
        <v>15045690.25</v>
      </c>
      <c r="M173" s="45">
        <v>4299718.62</v>
      </c>
      <c r="N173" s="45">
        <f t="shared" si="47"/>
        <v>19345408.870000001</v>
      </c>
      <c r="O173" s="45">
        <v>39242941.196416423</v>
      </c>
      <c r="P173" s="45">
        <v>6646217.430440574</v>
      </c>
      <c r="Q173" s="45">
        <f t="shared" si="48"/>
        <v>45889158.626856998</v>
      </c>
      <c r="R173" s="45" t="str">
        <f t="shared" si="49"/>
        <v>Yes</v>
      </c>
      <c r="S173" s="46" t="str">
        <f t="shared" si="49"/>
        <v>Yes</v>
      </c>
      <c r="T173" s="47">
        <f>ROUND(INDEX(Summary!H:H,MATCH(H:H,Summary!A:A,0)),2)</f>
        <v>0.28999999999999998</v>
      </c>
      <c r="U173" s="47">
        <f>ROUND(INDEX(Summary!I:I,MATCH(H:H,Summary!A:A,0)),2)</f>
        <v>0.68</v>
      </c>
      <c r="V173" s="81">
        <f t="shared" si="50"/>
        <v>9554795.5233250502</v>
      </c>
      <c r="W173" s="81">
        <f t="shared" si="50"/>
        <v>4283924.7102774167</v>
      </c>
      <c r="X173" s="45">
        <f t="shared" si="51"/>
        <v>13838720.233602468</v>
      </c>
      <c r="Y173" s="45" t="s">
        <v>2752</v>
      </c>
      <c r="Z173" s="45" t="str">
        <f t="shared" si="52"/>
        <v>Yes</v>
      </c>
      <c r="AA173" s="45" t="str">
        <f t="shared" si="52"/>
        <v>Yes</v>
      </c>
      <c r="AB173" s="45" t="str">
        <f t="shared" si="53"/>
        <v>Yes</v>
      </c>
      <c r="AC173" s="82">
        <f t="shared" si="54"/>
        <v>0.63</v>
      </c>
      <c r="AD173" s="82">
        <f t="shared" si="54"/>
        <v>0.26</v>
      </c>
      <c r="AE173" s="45">
        <f t="shared" si="55"/>
        <v>20756969.585154422</v>
      </c>
      <c r="AF173" s="45">
        <f t="shared" si="55"/>
        <v>1637971.2127531299</v>
      </c>
      <c r="AG173" s="45">
        <f t="shared" si="56"/>
        <v>22394940.79790755</v>
      </c>
      <c r="AH173" s="47">
        <f>IFERROR(ROUNDDOWN(INDEX('90% of ACR'!K:K,MATCH(H:H,'90% of ACR'!A:A,0))*IF(I173&gt;0,IF(O173&gt;0,$R$4*MAX(O173-V173,0),0),0)/I173,2),0)</f>
        <v>0.62</v>
      </c>
      <c r="AI173" s="82">
        <f>IFERROR(ROUNDDOWN(INDEX('90% of ACR'!R:R,MATCH(H:H,'90% of ACR'!A:A,0))*IF(J173&gt;0,IF(P173&gt;0,$R$4*MAX(P173-W173,0),0),0)/J173,2),0)</f>
        <v>0.23</v>
      </c>
      <c r="AJ173" s="45">
        <f t="shared" si="57"/>
        <v>20427493.877453558</v>
      </c>
      <c r="AK173" s="45">
        <f t="shared" si="57"/>
        <v>1448974.534358538</v>
      </c>
      <c r="AL173" s="47">
        <f t="shared" si="58"/>
        <v>0.90999999999999992</v>
      </c>
      <c r="AM173" s="47">
        <f t="shared" si="58"/>
        <v>0.91</v>
      </c>
      <c r="AN173" s="83">
        <f>IFERROR(INDEX('Fee Calc'!P:P,MATCH(C173,'Fee Calc'!F:F,0)),0)</f>
        <v>35715188.645414561</v>
      </c>
      <c r="AO173" s="83">
        <f>IFERROR(INDEX('Fee Calc'!Q:Q,MATCH(C173,'Fee Calc'!F:F,0)),0)</f>
        <v>2201145.5596644115</v>
      </c>
      <c r="AP173" s="83">
        <f t="shared" si="59"/>
        <v>37916334.205078974</v>
      </c>
      <c r="AQ173" s="70">
        <f t="shared" si="60"/>
        <v>16191488.028263284</v>
      </c>
      <c r="AR173" s="70">
        <f t="shared" si="61"/>
        <v>8095744.0141316419</v>
      </c>
      <c r="AS173" s="70">
        <f t="shared" si="62"/>
        <v>8095744.0141316419</v>
      </c>
    </row>
    <row r="174" spans="1:45">
      <c r="A174" s="104" t="s">
        <v>374</v>
      </c>
      <c r="B174" s="124" t="s">
        <v>374</v>
      </c>
      <c r="C174" s="31" t="s">
        <v>375</v>
      </c>
      <c r="D174" s="125" t="s">
        <v>375</v>
      </c>
      <c r="E174" s="119" t="s">
        <v>2851</v>
      </c>
      <c r="F174" s="100" t="s">
        <v>2291</v>
      </c>
      <c r="G174" s="100" t="s">
        <v>1202</v>
      </c>
      <c r="H174" s="43" t="str">
        <f t="shared" si="45"/>
        <v>Rural Travis</v>
      </c>
      <c r="I174" s="45">
        <f>INDEX('Fee Calc'!M:M,MATCH(C:C,'Fee Calc'!F:F,0))</f>
        <v>3001494.3542544823</v>
      </c>
      <c r="J174" s="45">
        <f>INDEX('Fee Calc'!L:L,MATCH(C:C,'Fee Calc'!F:F,0))</f>
        <v>3196632.4781550467</v>
      </c>
      <c r="K174" s="45">
        <f t="shared" si="46"/>
        <v>6198126.832409529</v>
      </c>
      <c r="L174" s="45">
        <v>-99760.12</v>
      </c>
      <c r="M174" s="45">
        <v>744371.11</v>
      </c>
      <c r="N174" s="45">
        <f t="shared" si="47"/>
        <v>644610.99</v>
      </c>
      <c r="O174" s="45">
        <v>936979.6286955555</v>
      </c>
      <c r="P174" s="45">
        <v>1015436.5454982319</v>
      </c>
      <c r="Q174" s="45">
        <f t="shared" si="48"/>
        <v>1952416.1741937874</v>
      </c>
      <c r="R174" s="45" t="str">
        <f t="shared" si="49"/>
        <v>Yes</v>
      </c>
      <c r="S174" s="46" t="str">
        <f t="shared" si="49"/>
        <v>Yes</v>
      </c>
      <c r="T174" s="47">
        <f>ROUND(INDEX(Summary!H:H,MATCH(H:H,Summary!A:A,0)),2)</f>
        <v>0.04</v>
      </c>
      <c r="U174" s="47">
        <f>ROUND(INDEX(Summary!I:I,MATCH(H:H,Summary!A:A,0)),2)</f>
        <v>0.2</v>
      </c>
      <c r="V174" s="81">
        <f t="shared" si="50"/>
        <v>120059.7741701793</v>
      </c>
      <c r="W174" s="81">
        <f t="shared" si="50"/>
        <v>639326.49563100934</v>
      </c>
      <c r="X174" s="45">
        <f t="shared" si="51"/>
        <v>759386.26980118861</v>
      </c>
      <c r="Y174" s="45" t="s">
        <v>2752</v>
      </c>
      <c r="Z174" s="45" t="str">
        <f t="shared" si="52"/>
        <v>Yes</v>
      </c>
      <c r="AA174" s="45" t="str">
        <f t="shared" si="52"/>
        <v>Yes</v>
      </c>
      <c r="AB174" s="45" t="str">
        <f t="shared" si="53"/>
        <v>Yes</v>
      </c>
      <c r="AC174" s="82">
        <f t="shared" si="54"/>
        <v>0.19</v>
      </c>
      <c r="AD174" s="82">
        <f t="shared" si="54"/>
        <v>0.08</v>
      </c>
      <c r="AE174" s="45">
        <f t="shared" si="55"/>
        <v>570283.92730835162</v>
      </c>
      <c r="AF174" s="45">
        <f t="shared" si="55"/>
        <v>255730.59825240375</v>
      </c>
      <c r="AG174" s="45">
        <f t="shared" si="56"/>
        <v>826014.5255607554</v>
      </c>
      <c r="AH174" s="47">
        <f>IFERROR(ROUNDDOWN(INDEX('90% of ACR'!K:K,MATCH(H:H,'90% of ACR'!A:A,0))*IF(I174&gt;0,IF(O174&gt;0,$R$4*MAX(O174-V174,0),0),0)/I174,2),0)</f>
        <v>0.18</v>
      </c>
      <c r="AI174" s="82">
        <f>IFERROR(ROUNDDOWN(INDEX('90% of ACR'!R:R,MATCH(H:H,'90% of ACR'!A:A,0))*IF(J174&gt;0,IF(P174&gt;0,$R$4*MAX(P174-W174,0),0),0)/J174,2),0)</f>
        <v>0.06</v>
      </c>
      <c r="AJ174" s="45">
        <f t="shared" si="57"/>
        <v>540268.98376580677</v>
      </c>
      <c r="AK174" s="45">
        <f t="shared" si="57"/>
        <v>191797.94868930281</v>
      </c>
      <c r="AL174" s="47">
        <f t="shared" si="58"/>
        <v>0.22</v>
      </c>
      <c r="AM174" s="47">
        <f t="shared" si="58"/>
        <v>0.26</v>
      </c>
      <c r="AN174" s="83">
        <f>IFERROR(INDEX('Fee Calc'!P:P,MATCH(C174,'Fee Calc'!F:F,0)),0)</f>
        <v>1491453.2022562982</v>
      </c>
      <c r="AO174" s="83">
        <f>IFERROR(INDEX('Fee Calc'!Q:Q,MATCH(C174,'Fee Calc'!F:F,0)),0)</f>
        <v>92066.041062514734</v>
      </c>
      <c r="AP174" s="83">
        <f t="shared" si="59"/>
        <v>1583519.2433188129</v>
      </c>
      <c r="AQ174" s="70">
        <f t="shared" si="60"/>
        <v>676213.38951291936</v>
      </c>
      <c r="AR174" s="70">
        <f t="shared" si="61"/>
        <v>338106.69475645968</v>
      </c>
      <c r="AS174" s="70">
        <f t="shared" si="62"/>
        <v>338106.69475645968</v>
      </c>
    </row>
    <row r="175" spans="1:45">
      <c r="A175" s="104" t="s">
        <v>560</v>
      </c>
      <c r="B175" s="124" t="s">
        <v>560</v>
      </c>
      <c r="C175" s="31" t="s">
        <v>561</v>
      </c>
      <c r="D175" s="125" t="s">
        <v>561</v>
      </c>
      <c r="E175" s="119" t="s">
        <v>2624</v>
      </c>
      <c r="F175" s="100" t="s">
        <v>2279</v>
      </c>
      <c r="G175" s="100" t="s">
        <v>300</v>
      </c>
      <c r="H175" s="43" t="str">
        <f t="shared" si="45"/>
        <v>Urban Harris</v>
      </c>
      <c r="I175" s="45">
        <f>INDEX('Fee Calc'!M:M,MATCH(C:C,'Fee Calc'!F:F,0))</f>
        <v>28982268.003075477</v>
      </c>
      <c r="J175" s="45">
        <f>INDEX('Fee Calc'!L:L,MATCH(C:C,'Fee Calc'!F:F,0))</f>
        <v>13277476.610394025</v>
      </c>
      <c r="K175" s="45">
        <f t="shared" si="46"/>
        <v>42259744.613469504</v>
      </c>
      <c r="L175" s="45">
        <v>13502926.01</v>
      </c>
      <c r="M175" s="45">
        <v>1399033.85</v>
      </c>
      <c r="N175" s="45">
        <f t="shared" si="47"/>
        <v>14901959.859999999</v>
      </c>
      <c r="O175" s="45">
        <v>43616950.240614355</v>
      </c>
      <c r="P175" s="45">
        <v>2850905.733055708</v>
      </c>
      <c r="Q175" s="45">
        <f t="shared" si="48"/>
        <v>46467855.973670065</v>
      </c>
      <c r="R175" s="45" t="str">
        <f t="shared" si="49"/>
        <v>Yes</v>
      </c>
      <c r="S175" s="46" t="str">
        <f t="shared" si="49"/>
        <v>Yes</v>
      </c>
      <c r="T175" s="47">
        <f>ROUND(INDEX(Summary!H:H,MATCH(H:H,Summary!A:A,0)),2)</f>
        <v>1.57</v>
      </c>
      <c r="U175" s="47">
        <f>ROUND(INDEX(Summary!I:I,MATCH(H:H,Summary!A:A,0)),2)</f>
        <v>0.3</v>
      </c>
      <c r="V175" s="81">
        <f t="shared" si="50"/>
        <v>45502160.764828503</v>
      </c>
      <c r="W175" s="81">
        <f t="shared" si="50"/>
        <v>3983242.9831182072</v>
      </c>
      <c r="X175" s="45">
        <f t="shared" si="51"/>
        <v>49485403.747946709</v>
      </c>
      <c r="Y175" s="45" t="s">
        <v>2752</v>
      </c>
      <c r="Z175" s="45" t="str">
        <f t="shared" si="52"/>
        <v>No</v>
      </c>
      <c r="AA175" s="45" t="str">
        <f t="shared" si="52"/>
        <v>No</v>
      </c>
      <c r="AB175" s="45" t="str">
        <f t="shared" si="53"/>
        <v>No</v>
      </c>
      <c r="AC175" s="82">
        <f t="shared" si="54"/>
        <v>0</v>
      </c>
      <c r="AD175" s="82">
        <f t="shared" si="54"/>
        <v>0</v>
      </c>
      <c r="AE175" s="45">
        <f t="shared" si="55"/>
        <v>0</v>
      </c>
      <c r="AF175" s="45">
        <f t="shared" si="55"/>
        <v>0</v>
      </c>
      <c r="AG175" s="45">
        <f t="shared" si="56"/>
        <v>0</v>
      </c>
      <c r="AH175" s="47">
        <f>IFERROR(ROUNDDOWN(INDEX('90% of ACR'!K:K,MATCH(H:H,'90% of ACR'!A:A,0))*IF(I175&gt;0,IF(O175&gt;0,$R$4*MAX(O175-V175,0),0),0)/I175,2),0)</f>
        <v>0</v>
      </c>
      <c r="AI175" s="82">
        <f>IFERROR(ROUNDDOWN(INDEX('90% of ACR'!R:R,MATCH(H:H,'90% of ACR'!A:A,0))*IF(J175&gt;0,IF(P175&gt;0,$R$4*MAX(P175-W175,0),0),0)/J175,2),0)</f>
        <v>0</v>
      </c>
      <c r="AJ175" s="45">
        <f t="shared" si="57"/>
        <v>0</v>
      </c>
      <c r="AK175" s="45">
        <f t="shared" si="57"/>
        <v>0</v>
      </c>
      <c r="AL175" s="47">
        <f t="shared" si="58"/>
        <v>1.57</v>
      </c>
      <c r="AM175" s="47">
        <f t="shared" si="58"/>
        <v>0.3</v>
      </c>
      <c r="AN175" s="83">
        <f>IFERROR(INDEX('Fee Calc'!P:P,MATCH(C175,'Fee Calc'!F:F,0)),0)</f>
        <v>49485403.747946709</v>
      </c>
      <c r="AO175" s="83">
        <f>IFERROR(INDEX('Fee Calc'!Q:Q,MATCH(C175,'Fee Calc'!F:F,0)),0)</f>
        <v>3044431.8970248764</v>
      </c>
      <c r="AP175" s="83">
        <f t="shared" si="59"/>
        <v>52529835.644971587</v>
      </c>
      <c r="AQ175" s="70">
        <f t="shared" si="60"/>
        <v>22431920.775143508</v>
      </c>
      <c r="AR175" s="70">
        <f t="shared" si="61"/>
        <v>11215960.387571754</v>
      </c>
      <c r="AS175" s="70">
        <f t="shared" si="62"/>
        <v>11215960.387571754</v>
      </c>
    </row>
    <row r="176" spans="1:45">
      <c r="A176" s="104" t="s">
        <v>1471</v>
      </c>
      <c r="B176" s="124" t="s">
        <v>1471</v>
      </c>
      <c r="C176" s="31" t="s">
        <v>1472</v>
      </c>
      <c r="D176" s="125" t="s">
        <v>1472</v>
      </c>
      <c r="E176" s="119" t="s">
        <v>2852</v>
      </c>
      <c r="F176" s="100" t="s">
        <v>2279</v>
      </c>
      <c r="G176" s="100" t="s">
        <v>1202</v>
      </c>
      <c r="H176" s="43" t="str">
        <f t="shared" si="45"/>
        <v>Urban Travis</v>
      </c>
      <c r="I176" s="45">
        <f>INDEX('Fee Calc'!M:M,MATCH(C:C,'Fee Calc'!F:F,0))</f>
        <v>88672.045017450437</v>
      </c>
      <c r="J176" s="45">
        <f>INDEX('Fee Calc'!L:L,MATCH(C:C,'Fee Calc'!F:F,0))</f>
        <v>299636.03469556815</v>
      </c>
      <c r="K176" s="45">
        <f t="shared" si="46"/>
        <v>388308.07971301861</v>
      </c>
      <c r="L176" s="45">
        <v>38623.29</v>
      </c>
      <c r="M176" s="45">
        <v>-1832.18</v>
      </c>
      <c r="N176" s="45">
        <f t="shared" si="47"/>
        <v>36791.11</v>
      </c>
      <c r="O176" s="45">
        <v>144808.93078939407</v>
      </c>
      <c r="P176" s="45">
        <v>87698.823058470036</v>
      </c>
      <c r="Q176" s="45">
        <f t="shared" si="48"/>
        <v>232507.75384786411</v>
      </c>
      <c r="R176" s="45" t="str">
        <f t="shared" si="49"/>
        <v>Yes</v>
      </c>
      <c r="S176" s="46" t="str">
        <f t="shared" si="49"/>
        <v>Yes</v>
      </c>
      <c r="T176" s="47">
        <f>ROUND(INDEX(Summary!H:H,MATCH(H:H,Summary!A:A,0)),2)</f>
        <v>0.35</v>
      </c>
      <c r="U176" s="47">
        <f>ROUND(INDEX(Summary!I:I,MATCH(H:H,Summary!A:A,0)),2)</f>
        <v>0.92</v>
      </c>
      <c r="V176" s="81">
        <f t="shared" si="50"/>
        <v>31035.215756107649</v>
      </c>
      <c r="W176" s="81">
        <f t="shared" si="50"/>
        <v>275665.15191992273</v>
      </c>
      <c r="X176" s="45">
        <f t="shared" si="51"/>
        <v>306700.36767603038</v>
      </c>
      <c r="Y176" s="45" t="s">
        <v>2752</v>
      </c>
      <c r="Z176" s="45" t="str">
        <f t="shared" si="52"/>
        <v>Yes</v>
      </c>
      <c r="AA176" s="45" t="str">
        <f t="shared" si="52"/>
        <v>No</v>
      </c>
      <c r="AB176" s="45" t="str">
        <f t="shared" si="53"/>
        <v>Yes</v>
      </c>
      <c r="AC176" s="82">
        <f t="shared" si="54"/>
        <v>0.89</v>
      </c>
      <c r="AD176" s="82">
        <f t="shared" si="54"/>
        <v>0</v>
      </c>
      <c r="AE176" s="45">
        <f t="shared" si="55"/>
        <v>78918.120065530893</v>
      </c>
      <c r="AF176" s="45">
        <f t="shared" si="55"/>
        <v>0</v>
      </c>
      <c r="AG176" s="45">
        <f t="shared" si="56"/>
        <v>78918.120065530893</v>
      </c>
      <c r="AH176" s="47">
        <f>IFERROR(ROUNDDOWN(INDEX('90% of ACR'!K:K,MATCH(H:H,'90% of ACR'!A:A,0))*IF(I176&gt;0,IF(O176&gt;0,$R$4*MAX(O176-V176,0),0),0)/I176,2),0)</f>
        <v>0.89</v>
      </c>
      <c r="AI176" s="82">
        <f>IFERROR(ROUNDDOWN(INDEX('90% of ACR'!R:R,MATCH(H:H,'90% of ACR'!A:A,0))*IF(J176&gt;0,IF(P176&gt;0,$R$4*MAX(P176-W176,0),0),0)/J176,2),0)</f>
        <v>0</v>
      </c>
      <c r="AJ176" s="45">
        <f t="shared" si="57"/>
        <v>78918.120065530893</v>
      </c>
      <c r="AK176" s="45">
        <f t="shared" si="57"/>
        <v>0</v>
      </c>
      <c r="AL176" s="47">
        <f t="shared" si="58"/>
        <v>1.24</v>
      </c>
      <c r="AM176" s="47">
        <f t="shared" si="58"/>
        <v>0.92</v>
      </c>
      <c r="AN176" s="83">
        <f>IFERROR(INDEX('Fee Calc'!P:P,MATCH(C176,'Fee Calc'!F:F,0)),0)</f>
        <v>385618.48774156126</v>
      </c>
      <c r="AO176" s="83">
        <f>IFERROR(INDEX('Fee Calc'!Q:Q,MATCH(C176,'Fee Calc'!F:F,0)),0)</f>
        <v>23959.126426668274</v>
      </c>
      <c r="AP176" s="83">
        <f t="shared" si="59"/>
        <v>409577.61416822951</v>
      </c>
      <c r="AQ176" s="70">
        <f t="shared" si="60"/>
        <v>174902.7477334874</v>
      </c>
      <c r="AR176" s="70">
        <f t="shared" si="61"/>
        <v>87451.373866743699</v>
      </c>
      <c r="AS176" s="70">
        <f t="shared" si="62"/>
        <v>87451.373866743699</v>
      </c>
    </row>
    <row r="177" spans="1:45">
      <c r="A177" s="104" t="s">
        <v>186</v>
      </c>
      <c r="B177" s="124" t="s">
        <v>186</v>
      </c>
      <c r="C177" s="31" t="s">
        <v>187</v>
      </c>
      <c r="D177" s="125" t="s">
        <v>187</v>
      </c>
      <c r="E177" s="119" t="s">
        <v>2627</v>
      </c>
      <c r="F177" s="100" t="s">
        <v>2279</v>
      </c>
      <c r="G177" s="100" t="s">
        <v>300</v>
      </c>
      <c r="H177" s="43" t="str">
        <f t="shared" si="45"/>
        <v>Urban Harris</v>
      </c>
      <c r="I177" s="45">
        <f>INDEX('Fee Calc'!M:M,MATCH(C:C,'Fee Calc'!F:F,0))</f>
        <v>3793585.2392804958</v>
      </c>
      <c r="J177" s="45">
        <f>INDEX('Fee Calc'!L:L,MATCH(C:C,'Fee Calc'!F:F,0))</f>
        <v>1094537.1284728071</v>
      </c>
      <c r="K177" s="45">
        <f t="shared" si="46"/>
        <v>4888122.3677533027</v>
      </c>
      <c r="L177" s="45">
        <v>4527809.21</v>
      </c>
      <c r="M177" s="45">
        <v>1341565.06</v>
      </c>
      <c r="N177" s="45">
        <f t="shared" si="47"/>
        <v>5869374.2699999996</v>
      </c>
      <c r="O177" s="45">
        <v>9906193.8106230833</v>
      </c>
      <c r="P177" s="45">
        <v>1428388.509570692</v>
      </c>
      <c r="Q177" s="45">
        <f t="shared" si="48"/>
        <v>11334582.320193775</v>
      </c>
      <c r="R177" s="45" t="str">
        <f t="shared" si="49"/>
        <v>Yes</v>
      </c>
      <c r="S177" s="46" t="str">
        <f t="shared" si="49"/>
        <v>Yes</v>
      </c>
      <c r="T177" s="47">
        <f>ROUND(INDEX(Summary!H:H,MATCH(H:H,Summary!A:A,0)),2)</f>
        <v>1.57</v>
      </c>
      <c r="U177" s="47">
        <f>ROUND(INDEX(Summary!I:I,MATCH(H:H,Summary!A:A,0)),2)</f>
        <v>0.3</v>
      </c>
      <c r="V177" s="81">
        <f t="shared" si="50"/>
        <v>5955928.8256703783</v>
      </c>
      <c r="W177" s="81">
        <f t="shared" si="50"/>
        <v>328361.13854184211</v>
      </c>
      <c r="X177" s="45">
        <f t="shared" si="51"/>
        <v>6284289.9642122202</v>
      </c>
      <c r="Y177" s="45" t="s">
        <v>2752</v>
      </c>
      <c r="Z177" s="45" t="str">
        <f t="shared" si="52"/>
        <v>No</v>
      </c>
      <c r="AA177" s="45" t="str">
        <f t="shared" si="52"/>
        <v>Yes</v>
      </c>
      <c r="AB177" s="45" t="str">
        <f t="shared" si="53"/>
        <v>Yes</v>
      </c>
      <c r="AC177" s="82">
        <f t="shared" si="54"/>
        <v>0.73</v>
      </c>
      <c r="AD177" s="82">
        <f t="shared" si="54"/>
        <v>0.7</v>
      </c>
      <c r="AE177" s="45">
        <f t="shared" si="55"/>
        <v>2769317.2246747618</v>
      </c>
      <c r="AF177" s="45">
        <f t="shared" si="55"/>
        <v>766175.98993096489</v>
      </c>
      <c r="AG177" s="45">
        <f t="shared" si="56"/>
        <v>3535493.2146057268</v>
      </c>
      <c r="AH177" s="47">
        <f>IFERROR(ROUNDDOWN(INDEX('90% of ACR'!K:K,MATCH(H:H,'90% of ACR'!A:A,0))*IF(I177&gt;0,IF(O177&gt;0,$R$4*MAX(O177-V177,0),0),0)/I177,2),0)</f>
        <v>0</v>
      </c>
      <c r="AI177" s="82">
        <f>IFERROR(ROUNDDOWN(INDEX('90% of ACR'!R:R,MATCH(H:H,'90% of ACR'!A:A,0))*IF(J177&gt;0,IF(P177&gt;0,$R$4*MAX(P177-W177,0),0),0)/J177,2),0)</f>
        <v>0.65</v>
      </c>
      <c r="AJ177" s="45">
        <f t="shared" si="57"/>
        <v>0</v>
      </c>
      <c r="AK177" s="45">
        <f t="shared" si="57"/>
        <v>711449.13350732462</v>
      </c>
      <c r="AL177" s="47">
        <f t="shared" si="58"/>
        <v>1.57</v>
      </c>
      <c r="AM177" s="47">
        <f t="shared" si="58"/>
        <v>0.95</v>
      </c>
      <c r="AN177" s="83">
        <f>IFERROR(INDEX('Fee Calc'!P:P,MATCH(C177,'Fee Calc'!F:F,0)),0)</f>
        <v>6995739.0977195445</v>
      </c>
      <c r="AO177" s="83">
        <f>IFERROR(INDEX('Fee Calc'!Q:Q,MATCH(C177,'Fee Calc'!F:F,0)),0)</f>
        <v>441940.10329963057</v>
      </c>
      <c r="AP177" s="83">
        <f t="shared" si="59"/>
        <v>7437679.2010191754</v>
      </c>
      <c r="AQ177" s="70">
        <f t="shared" si="60"/>
        <v>3176127.0245696208</v>
      </c>
      <c r="AR177" s="70">
        <f t="shared" si="61"/>
        <v>1588063.5122848104</v>
      </c>
      <c r="AS177" s="70">
        <f t="shared" si="62"/>
        <v>1588063.5122848104</v>
      </c>
    </row>
    <row r="178" spans="1:45">
      <c r="A178" s="104" t="s">
        <v>1004</v>
      </c>
      <c r="B178" s="124" t="s">
        <v>1004</v>
      </c>
      <c r="C178" s="31" t="s">
        <v>1005</v>
      </c>
      <c r="D178" s="125" t="s">
        <v>1005</v>
      </c>
      <c r="E178" s="119" t="s">
        <v>2853</v>
      </c>
      <c r="F178" s="100" t="s">
        <v>2279</v>
      </c>
      <c r="G178" s="100" t="s">
        <v>1202</v>
      </c>
      <c r="H178" s="43" t="str">
        <f t="shared" si="45"/>
        <v>Urban Travis</v>
      </c>
      <c r="I178" s="45">
        <f>INDEX('Fee Calc'!M:M,MATCH(C:C,'Fee Calc'!F:F,0))</f>
        <v>1541209.8606395004</v>
      </c>
      <c r="J178" s="45">
        <f>INDEX('Fee Calc'!L:L,MATCH(C:C,'Fee Calc'!F:F,0))</f>
        <v>2764876.2661886094</v>
      </c>
      <c r="K178" s="45">
        <f t="shared" si="46"/>
        <v>4306086.1268281098</v>
      </c>
      <c r="L178" s="45">
        <v>1291881.99</v>
      </c>
      <c r="M178" s="45">
        <v>2443376.5</v>
      </c>
      <c r="N178" s="45">
        <f t="shared" si="47"/>
        <v>3735258.49</v>
      </c>
      <c r="O178" s="45">
        <v>4312182.256789593</v>
      </c>
      <c r="P178" s="45">
        <v>2757694.3595368769</v>
      </c>
      <c r="Q178" s="45">
        <f t="shared" si="48"/>
        <v>7069876.6163264699</v>
      </c>
      <c r="R178" s="45" t="str">
        <f t="shared" si="49"/>
        <v>Yes</v>
      </c>
      <c r="S178" s="46" t="str">
        <f t="shared" si="49"/>
        <v>Yes</v>
      </c>
      <c r="T178" s="47">
        <f>ROUND(INDEX(Summary!H:H,MATCH(H:H,Summary!A:A,0)),2)</f>
        <v>0.35</v>
      </c>
      <c r="U178" s="47">
        <f>ROUND(INDEX(Summary!I:I,MATCH(H:H,Summary!A:A,0)),2)</f>
        <v>0.92</v>
      </c>
      <c r="V178" s="81">
        <f t="shared" si="50"/>
        <v>539423.4512238251</v>
      </c>
      <c r="W178" s="81">
        <f t="shared" si="50"/>
        <v>2543686.164893521</v>
      </c>
      <c r="X178" s="45">
        <f t="shared" si="51"/>
        <v>3083109.6161173461</v>
      </c>
      <c r="Y178" s="45" t="s">
        <v>2752</v>
      </c>
      <c r="Z178" s="45" t="str">
        <f t="shared" si="52"/>
        <v>Yes</v>
      </c>
      <c r="AA178" s="45" t="str">
        <f t="shared" si="52"/>
        <v>Yes</v>
      </c>
      <c r="AB178" s="45" t="str">
        <f t="shared" si="53"/>
        <v>Yes</v>
      </c>
      <c r="AC178" s="82">
        <f t="shared" si="54"/>
        <v>1.71</v>
      </c>
      <c r="AD178" s="82">
        <f t="shared" si="54"/>
        <v>0.05</v>
      </c>
      <c r="AE178" s="45">
        <f t="shared" si="55"/>
        <v>2635468.8616935457</v>
      </c>
      <c r="AF178" s="45">
        <f t="shared" si="55"/>
        <v>138243.81330943046</v>
      </c>
      <c r="AG178" s="45">
        <f t="shared" si="56"/>
        <v>2773712.6750029763</v>
      </c>
      <c r="AH178" s="47">
        <f>IFERROR(ROUNDDOWN(INDEX('90% of ACR'!K:K,MATCH(H:H,'90% of ACR'!A:A,0))*IF(I178&gt;0,IF(O178&gt;0,$R$4*MAX(O178-V178,0),0),0)/I178,2),0)</f>
        <v>1.7</v>
      </c>
      <c r="AI178" s="82">
        <f>IFERROR(ROUNDDOWN(INDEX('90% of ACR'!R:R,MATCH(H:H,'90% of ACR'!A:A,0))*IF(J178&gt;0,IF(P178&gt;0,$R$4*MAX(P178-W178,0),0),0)/J178,2),0)</f>
        <v>0.02</v>
      </c>
      <c r="AJ178" s="45">
        <f t="shared" si="57"/>
        <v>2620056.7630871506</v>
      </c>
      <c r="AK178" s="45">
        <f t="shared" si="57"/>
        <v>55297.525323772192</v>
      </c>
      <c r="AL178" s="47">
        <f t="shared" si="58"/>
        <v>2.0499999999999998</v>
      </c>
      <c r="AM178" s="47">
        <f t="shared" si="58"/>
        <v>0.94000000000000006</v>
      </c>
      <c r="AN178" s="83">
        <f>IFERROR(INDEX('Fee Calc'!P:P,MATCH(C178,'Fee Calc'!F:F,0)),0)</f>
        <v>5758463.9045282686</v>
      </c>
      <c r="AO178" s="83">
        <f>IFERROR(INDEX('Fee Calc'!Q:Q,MATCH(C178,'Fee Calc'!F:F,0)),0)</f>
        <v>359364.22497340769</v>
      </c>
      <c r="AP178" s="83">
        <f t="shared" si="59"/>
        <v>6117828.1295016762</v>
      </c>
      <c r="AQ178" s="70">
        <f t="shared" si="60"/>
        <v>2612508.3817973598</v>
      </c>
      <c r="AR178" s="70">
        <f t="shared" si="61"/>
        <v>1306254.1908986799</v>
      </c>
      <c r="AS178" s="70">
        <f t="shared" si="62"/>
        <v>1306254.1908986799</v>
      </c>
    </row>
    <row r="179" spans="1:45">
      <c r="A179" s="104" t="s">
        <v>759</v>
      </c>
      <c r="B179" s="124" t="s">
        <v>759</v>
      </c>
      <c r="C179" s="31" t="s">
        <v>760</v>
      </c>
      <c r="D179" s="125" t="s">
        <v>760</v>
      </c>
      <c r="E179" s="119" t="s">
        <v>2628</v>
      </c>
      <c r="F179" s="100" t="s">
        <v>2279</v>
      </c>
      <c r="G179" s="100" t="s">
        <v>300</v>
      </c>
      <c r="H179" s="43" t="str">
        <f t="shared" si="45"/>
        <v>Urban Harris</v>
      </c>
      <c r="I179" s="45">
        <f>INDEX('Fee Calc'!M:M,MATCH(C:C,'Fee Calc'!F:F,0))</f>
        <v>18135385.713644117</v>
      </c>
      <c r="J179" s="45">
        <f>INDEX('Fee Calc'!L:L,MATCH(C:C,'Fee Calc'!F:F,0))</f>
        <v>5856540.3419553824</v>
      </c>
      <c r="K179" s="45">
        <f t="shared" si="46"/>
        <v>23991926.055599499</v>
      </c>
      <c r="L179" s="45">
        <v>13421999.15</v>
      </c>
      <c r="M179" s="45">
        <v>3657406.89</v>
      </c>
      <c r="N179" s="45">
        <f t="shared" si="47"/>
        <v>17079406.039999999</v>
      </c>
      <c r="O179" s="45">
        <v>23652493.544402309</v>
      </c>
      <c r="P179" s="45">
        <v>4086159.3593142582</v>
      </c>
      <c r="Q179" s="45">
        <f t="shared" si="48"/>
        <v>27738652.903716568</v>
      </c>
      <c r="R179" s="45" t="str">
        <f t="shared" si="49"/>
        <v>Yes</v>
      </c>
      <c r="S179" s="46" t="str">
        <f t="shared" si="49"/>
        <v>Yes</v>
      </c>
      <c r="T179" s="47">
        <f>ROUND(INDEX(Summary!H:H,MATCH(H:H,Summary!A:A,0)),2)</f>
        <v>1.57</v>
      </c>
      <c r="U179" s="47">
        <f>ROUND(INDEX(Summary!I:I,MATCH(H:H,Summary!A:A,0)),2)</f>
        <v>0.3</v>
      </c>
      <c r="V179" s="81">
        <f t="shared" si="50"/>
        <v>28472555.570421264</v>
      </c>
      <c r="W179" s="81">
        <f t="shared" si="50"/>
        <v>1756962.1025866147</v>
      </c>
      <c r="X179" s="45">
        <f t="shared" si="51"/>
        <v>30229517.673007879</v>
      </c>
      <c r="Y179" s="45" t="s">
        <v>2752</v>
      </c>
      <c r="Z179" s="45" t="str">
        <f t="shared" si="52"/>
        <v>No</v>
      </c>
      <c r="AA179" s="45" t="str">
        <f t="shared" si="52"/>
        <v>Yes</v>
      </c>
      <c r="AB179" s="45" t="str">
        <f t="shared" si="53"/>
        <v>Yes</v>
      </c>
      <c r="AC179" s="82">
        <f t="shared" si="54"/>
        <v>0</v>
      </c>
      <c r="AD179" s="82">
        <f t="shared" si="54"/>
        <v>0.28000000000000003</v>
      </c>
      <c r="AE179" s="45">
        <f t="shared" si="55"/>
        <v>0</v>
      </c>
      <c r="AF179" s="45">
        <f t="shared" si="55"/>
        <v>1639831.2957475071</v>
      </c>
      <c r="AG179" s="45">
        <f t="shared" si="56"/>
        <v>1639831.2957475071</v>
      </c>
      <c r="AH179" s="47">
        <f>IFERROR(ROUNDDOWN(INDEX('90% of ACR'!K:K,MATCH(H:H,'90% of ACR'!A:A,0))*IF(I179&gt;0,IF(O179&gt;0,$R$4*MAX(O179-V179,0),0),0)/I179,2),0)</f>
        <v>0</v>
      </c>
      <c r="AI179" s="82">
        <f>IFERROR(ROUNDDOWN(INDEX('90% of ACR'!R:R,MATCH(H:H,'90% of ACR'!A:A,0))*IF(J179&gt;0,IF(P179&gt;0,$R$4*MAX(P179-W179,0),0),0)/J179,2),0)</f>
        <v>0.25</v>
      </c>
      <c r="AJ179" s="45">
        <f t="shared" si="57"/>
        <v>0</v>
      </c>
      <c r="AK179" s="45">
        <f t="shared" si="57"/>
        <v>1464135.0854888456</v>
      </c>
      <c r="AL179" s="47">
        <f t="shared" si="58"/>
        <v>1.57</v>
      </c>
      <c r="AM179" s="47">
        <f t="shared" si="58"/>
        <v>0.55000000000000004</v>
      </c>
      <c r="AN179" s="83">
        <f>IFERROR(INDEX('Fee Calc'!P:P,MATCH(C179,'Fee Calc'!F:F,0)),0)</f>
        <v>31693652.758496724</v>
      </c>
      <c r="AO179" s="83">
        <f>IFERROR(INDEX('Fee Calc'!Q:Q,MATCH(C179,'Fee Calc'!F:F,0)),0)</f>
        <v>1958823.5596763052</v>
      </c>
      <c r="AP179" s="83">
        <f t="shared" si="59"/>
        <v>33652476.318173029</v>
      </c>
      <c r="AQ179" s="70">
        <f t="shared" si="60"/>
        <v>14370684.267102066</v>
      </c>
      <c r="AR179" s="70">
        <f t="shared" si="61"/>
        <v>7185342.1335510332</v>
      </c>
      <c r="AS179" s="70">
        <f t="shared" si="62"/>
        <v>7185342.1335510332</v>
      </c>
    </row>
    <row r="180" spans="1:45">
      <c r="A180" s="104" t="s">
        <v>1010</v>
      </c>
      <c r="B180" s="124" t="s">
        <v>1010</v>
      </c>
      <c r="C180" s="31" t="s">
        <v>1011</v>
      </c>
      <c r="D180" s="125" t="s">
        <v>1011</v>
      </c>
      <c r="E180" s="119" t="s">
        <v>2854</v>
      </c>
      <c r="F180" s="100" t="s">
        <v>2279</v>
      </c>
      <c r="G180" s="100" t="s">
        <v>1486</v>
      </c>
      <c r="H180" s="43" t="str">
        <f t="shared" si="45"/>
        <v>Urban MRSA Central</v>
      </c>
      <c r="I180" s="45">
        <f>INDEX('Fee Calc'!M:M,MATCH(C:C,'Fee Calc'!F:F,0))</f>
        <v>53105813.88092339</v>
      </c>
      <c r="J180" s="45">
        <f>INDEX('Fee Calc'!L:L,MATCH(C:C,'Fee Calc'!F:F,0))</f>
        <v>31692656.06626175</v>
      </c>
      <c r="K180" s="45">
        <f t="shared" si="46"/>
        <v>84798469.947185144</v>
      </c>
      <c r="L180" s="45">
        <v>18545032.09</v>
      </c>
      <c r="M180" s="45">
        <v>28970872.960000001</v>
      </c>
      <c r="N180" s="45">
        <f t="shared" si="47"/>
        <v>47515905.049999997</v>
      </c>
      <c r="O180" s="45">
        <v>57371662.180662319</v>
      </c>
      <c r="P180" s="45">
        <v>26288549.629341766</v>
      </c>
      <c r="Q180" s="45">
        <f t="shared" si="48"/>
        <v>83660211.810004085</v>
      </c>
      <c r="R180" s="45" t="str">
        <f t="shared" si="49"/>
        <v>Yes</v>
      </c>
      <c r="S180" s="46" t="str">
        <f t="shared" si="49"/>
        <v>Yes</v>
      </c>
      <c r="T180" s="47">
        <f>ROUND(INDEX(Summary!H:H,MATCH(H:H,Summary!A:A,0)),2)</f>
        <v>0.43</v>
      </c>
      <c r="U180" s="47">
        <f>ROUND(INDEX(Summary!I:I,MATCH(H:H,Summary!A:A,0)),2)</f>
        <v>0.92</v>
      </c>
      <c r="V180" s="81">
        <f t="shared" si="50"/>
        <v>22835499.968797058</v>
      </c>
      <c r="W180" s="81">
        <f t="shared" si="50"/>
        <v>29157243.58096081</v>
      </c>
      <c r="X180" s="45">
        <f t="shared" si="51"/>
        <v>51992743.549757868</v>
      </c>
      <c r="Y180" s="45" t="s">
        <v>2752</v>
      </c>
      <c r="Z180" s="45" t="str">
        <f t="shared" si="52"/>
        <v>Yes</v>
      </c>
      <c r="AA180" s="45" t="str">
        <f t="shared" si="52"/>
        <v>No</v>
      </c>
      <c r="AB180" s="45" t="str">
        <f t="shared" si="53"/>
        <v>Yes</v>
      </c>
      <c r="AC180" s="82">
        <f t="shared" si="54"/>
        <v>0.45</v>
      </c>
      <c r="AD180" s="82">
        <f t="shared" si="54"/>
        <v>0</v>
      </c>
      <c r="AE180" s="45">
        <f t="shared" si="55"/>
        <v>23897616.246415526</v>
      </c>
      <c r="AF180" s="45">
        <f t="shared" si="55"/>
        <v>0</v>
      </c>
      <c r="AG180" s="45">
        <f t="shared" si="56"/>
        <v>23897616.246415526</v>
      </c>
      <c r="AH180" s="47">
        <f>IFERROR(ROUNDDOWN(INDEX('90% of ACR'!K:K,MATCH(H:H,'90% of ACR'!A:A,0))*IF(I180&gt;0,IF(O180&gt;0,$R$4*MAX(O180-V180,0),0),0)/I180,2),0)</f>
        <v>0.45</v>
      </c>
      <c r="AI180" s="82">
        <f>IFERROR(ROUNDDOWN(INDEX('90% of ACR'!R:R,MATCH(H:H,'90% of ACR'!A:A,0))*IF(J180&gt;0,IF(P180&gt;0,$R$4*MAX(P180-W180,0),0),0)/J180,2),0)</f>
        <v>0</v>
      </c>
      <c r="AJ180" s="45">
        <f t="shared" si="57"/>
        <v>23897616.246415526</v>
      </c>
      <c r="AK180" s="45">
        <f t="shared" si="57"/>
        <v>0</v>
      </c>
      <c r="AL180" s="47">
        <f t="shared" si="58"/>
        <v>0.88</v>
      </c>
      <c r="AM180" s="47">
        <f t="shared" si="58"/>
        <v>0.92</v>
      </c>
      <c r="AN180" s="83">
        <f>IFERROR(INDEX('Fee Calc'!P:P,MATCH(C180,'Fee Calc'!F:F,0)),0)</f>
        <v>75890359.796173394</v>
      </c>
      <c r="AO180" s="83">
        <f>IFERROR(INDEX('Fee Calc'!Q:Q,MATCH(C180,'Fee Calc'!F:F,0)),0)</f>
        <v>4693330.9884442855</v>
      </c>
      <c r="AP180" s="83">
        <f t="shared" si="59"/>
        <v>80583690.784617677</v>
      </c>
      <c r="AQ180" s="70">
        <f t="shared" si="60"/>
        <v>34411814.643136859</v>
      </c>
      <c r="AR180" s="70">
        <f t="shared" si="61"/>
        <v>17205907.321568429</v>
      </c>
      <c r="AS180" s="70">
        <f t="shared" si="62"/>
        <v>17205907.321568429</v>
      </c>
    </row>
    <row r="181" spans="1:45">
      <c r="A181" s="104" t="s">
        <v>1007</v>
      </c>
      <c r="B181" s="124" t="s">
        <v>1007</v>
      </c>
      <c r="C181" s="31" t="s">
        <v>1008</v>
      </c>
      <c r="D181" s="125" t="s">
        <v>1008</v>
      </c>
      <c r="E181" s="119" t="s">
        <v>2555</v>
      </c>
      <c r="F181" s="100" t="s">
        <v>2291</v>
      </c>
      <c r="G181" s="100" t="s">
        <v>1202</v>
      </c>
      <c r="H181" s="43" t="str">
        <f t="shared" si="45"/>
        <v>Rural Travis</v>
      </c>
      <c r="I181" s="45">
        <f>INDEX('Fee Calc'!M:M,MATCH(C:C,'Fee Calc'!F:F,0))</f>
        <v>80898.026149415469</v>
      </c>
      <c r="J181" s="45">
        <f>INDEX('Fee Calc'!L:L,MATCH(C:C,'Fee Calc'!F:F,0))</f>
        <v>755829.51067245612</v>
      </c>
      <c r="K181" s="45">
        <f t="shared" si="46"/>
        <v>836727.53682187153</v>
      </c>
      <c r="L181" s="45">
        <v>51206.239999999998</v>
      </c>
      <c r="M181" s="45">
        <v>-138154.60999999999</v>
      </c>
      <c r="N181" s="45">
        <f t="shared" si="47"/>
        <v>-86948.37</v>
      </c>
      <c r="O181" s="45">
        <v>64264.512032514271</v>
      </c>
      <c r="P181" s="45">
        <v>295173.42317668692</v>
      </c>
      <c r="Q181" s="45">
        <f t="shared" si="48"/>
        <v>359437.93520920118</v>
      </c>
      <c r="R181" s="45" t="str">
        <f t="shared" si="49"/>
        <v>Yes</v>
      </c>
      <c r="S181" s="46" t="str">
        <f t="shared" si="49"/>
        <v>Yes</v>
      </c>
      <c r="T181" s="47">
        <f>ROUND(INDEX(Summary!H:H,MATCH(H:H,Summary!A:A,0)),2)</f>
        <v>0.04</v>
      </c>
      <c r="U181" s="47">
        <f>ROUND(INDEX(Summary!I:I,MATCH(H:H,Summary!A:A,0)),2)</f>
        <v>0.2</v>
      </c>
      <c r="V181" s="81">
        <f t="shared" si="50"/>
        <v>3235.9210459766186</v>
      </c>
      <c r="W181" s="81">
        <f t="shared" si="50"/>
        <v>151165.90213449122</v>
      </c>
      <c r="X181" s="45">
        <f t="shared" si="51"/>
        <v>154401.82318046785</v>
      </c>
      <c r="Y181" s="45" t="s">
        <v>2752</v>
      </c>
      <c r="Z181" s="45" t="str">
        <f t="shared" si="52"/>
        <v>Yes</v>
      </c>
      <c r="AA181" s="45" t="str">
        <f t="shared" si="52"/>
        <v>Yes</v>
      </c>
      <c r="AB181" s="45" t="str">
        <f t="shared" si="53"/>
        <v>Yes</v>
      </c>
      <c r="AC181" s="82">
        <f t="shared" si="54"/>
        <v>0.53</v>
      </c>
      <c r="AD181" s="82">
        <f t="shared" si="54"/>
        <v>0.13</v>
      </c>
      <c r="AE181" s="45">
        <f t="shared" si="55"/>
        <v>42875.953859190202</v>
      </c>
      <c r="AF181" s="45">
        <f t="shared" si="55"/>
        <v>98257.836387419302</v>
      </c>
      <c r="AG181" s="45">
        <f t="shared" si="56"/>
        <v>141133.79024660951</v>
      </c>
      <c r="AH181" s="47">
        <f>IFERROR(ROUNDDOWN(INDEX('90% of ACR'!K:K,MATCH(H:H,'90% of ACR'!A:A,0))*IF(I181&gt;0,IF(O181&gt;0,$R$4*MAX(O181-V181,0),0),0)/I181,2),0)</f>
        <v>0.52</v>
      </c>
      <c r="AI181" s="82">
        <f>IFERROR(ROUNDDOWN(INDEX('90% of ACR'!R:R,MATCH(H:H,'90% of ACR'!A:A,0))*IF(J181&gt;0,IF(P181&gt;0,$R$4*MAX(P181-W181,0),0),0)/J181,2),0)</f>
        <v>0.1</v>
      </c>
      <c r="AJ181" s="45">
        <f t="shared" si="57"/>
        <v>42066.973597696044</v>
      </c>
      <c r="AK181" s="45">
        <f t="shared" si="57"/>
        <v>75582.951067245609</v>
      </c>
      <c r="AL181" s="47">
        <f t="shared" si="58"/>
        <v>0.56000000000000005</v>
      </c>
      <c r="AM181" s="47">
        <f t="shared" si="58"/>
        <v>0.30000000000000004</v>
      </c>
      <c r="AN181" s="83">
        <f>IFERROR(INDEX('Fee Calc'!P:P,MATCH(C181,'Fee Calc'!F:F,0)),0)</f>
        <v>272051.74784540955</v>
      </c>
      <c r="AO181" s="83">
        <f>IFERROR(INDEX('Fee Calc'!Q:Q,MATCH(C181,'Fee Calc'!F:F,0)),0)</f>
        <v>16810.869185393643</v>
      </c>
      <c r="AP181" s="83">
        <f t="shared" si="59"/>
        <v>288862.61703080317</v>
      </c>
      <c r="AQ181" s="70">
        <f t="shared" si="60"/>
        <v>123353.58107589794</v>
      </c>
      <c r="AR181" s="70">
        <f t="shared" si="61"/>
        <v>61676.790537948968</v>
      </c>
      <c r="AS181" s="70">
        <f t="shared" si="62"/>
        <v>61676.790537948968</v>
      </c>
    </row>
    <row r="182" spans="1:45">
      <c r="A182" s="104" t="s">
        <v>503</v>
      </c>
      <c r="B182" s="124" t="s">
        <v>503</v>
      </c>
      <c r="C182" s="31" t="s">
        <v>504</v>
      </c>
      <c r="D182" s="125" t="s">
        <v>504</v>
      </c>
      <c r="E182" s="119" t="s">
        <v>2412</v>
      </c>
      <c r="F182" s="100" t="s">
        <v>2279</v>
      </c>
      <c r="G182" s="100" t="s">
        <v>1550</v>
      </c>
      <c r="H182" s="43" t="str">
        <f t="shared" si="45"/>
        <v>Urban Jefferson</v>
      </c>
      <c r="I182" s="45">
        <f>INDEX('Fee Calc'!M:M,MATCH(C:C,'Fee Calc'!F:F,0))</f>
        <v>9949115.4343430307</v>
      </c>
      <c r="J182" s="45">
        <f>INDEX('Fee Calc'!L:L,MATCH(C:C,'Fee Calc'!F:F,0))</f>
        <v>5512349.607847292</v>
      </c>
      <c r="K182" s="45">
        <f t="shared" si="46"/>
        <v>15461465.042190323</v>
      </c>
      <c r="L182" s="45">
        <v>7640565.3099999996</v>
      </c>
      <c r="M182" s="45">
        <v>7133270.6500000004</v>
      </c>
      <c r="N182" s="45">
        <f t="shared" si="47"/>
        <v>14773835.960000001</v>
      </c>
      <c r="O182" s="45">
        <v>41786980.627534963</v>
      </c>
      <c r="P182" s="45">
        <v>7643465.7780481158</v>
      </c>
      <c r="Q182" s="45">
        <f t="shared" si="48"/>
        <v>49430446.405583076</v>
      </c>
      <c r="R182" s="45" t="str">
        <f t="shared" si="49"/>
        <v>Yes</v>
      </c>
      <c r="S182" s="46" t="str">
        <f t="shared" si="49"/>
        <v>Yes</v>
      </c>
      <c r="T182" s="47">
        <f>ROUND(INDEX(Summary!H:H,MATCH(H:H,Summary!A:A,0)),2)</f>
        <v>0.72</v>
      </c>
      <c r="U182" s="47">
        <f>ROUND(INDEX(Summary!I:I,MATCH(H:H,Summary!A:A,0)),2)</f>
        <v>0.85</v>
      </c>
      <c r="V182" s="81">
        <f t="shared" si="50"/>
        <v>7163363.1127269818</v>
      </c>
      <c r="W182" s="81">
        <f t="shared" si="50"/>
        <v>4685497.1666701976</v>
      </c>
      <c r="X182" s="45">
        <f t="shared" si="51"/>
        <v>11848860.279397178</v>
      </c>
      <c r="Y182" s="45" t="s">
        <v>2752</v>
      </c>
      <c r="Z182" s="45" t="str">
        <f t="shared" si="52"/>
        <v>Yes</v>
      </c>
      <c r="AA182" s="45" t="str">
        <f t="shared" si="52"/>
        <v>Yes</v>
      </c>
      <c r="AB182" s="45" t="str">
        <f t="shared" si="53"/>
        <v>Yes</v>
      </c>
      <c r="AC182" s="82">
        <f t="shared" si="54"/>
        <v>2.42</v>
      </c>
      <c r="AD182" s="82">
        <f t="shared" si="54"/>
        <v>0.37</v>
      </c>
      <c r="AE182" s="45">
        <f t="shared" si="55"/>
        <v>24076859.351110134</v>
      </c>
      <c r="AF182" s="45">
        <f t="shared" si="55"/>
        <v>2039569.354903498</v>
      </c>
      <c r="AG182" s="45">
        <f t="shared" si="56"/>
        <v>26116428.706013631</v>
      </c>
      <c r="AH182" s="47">
        <f>IFERROR(ROUNDDOWN(INDEX('90% of ACR'!K:K,MATCH(H:H,'90% of ACR'!A:A,0))*IF(I182&gt;0,IF(O182&gt;0,$R$4*MAX(O182-V182,0),0),0)/I182,2),0)</f>
        <v>2.42</v>
      </c>
      <c r="AI182" s="82">
        <f>IFERROR(ROUNDDOWN(INDEX('90% of ACR'!R:R,MATCH(H:H,'90% of ACR'!A:A,0))*IF(J182&gt;0,IF(P182&gt;0,$R$4*MAX(P182-W182,0),0),0)/J182,2),0)</f>
        <v>0.32</v>
      </c>
      <c r="AJ182" s="45">
        <f t="shared" si="57"/>
        <v>24076859.351110134</v>
      </c>
      <c r="AK182" s="45">
        <f t="shared" si="57"/>
        <v>1763951.8745111334</v>
      </c>
      <c r="AL182" s="47">
        <f t="shared" si="58"/>
        <v>3.1399999999999997</v>
      </c>
      <c r="AM182" s="47">
        <f t="shared" si="58"/>
        <v>1.17</v>
      </c>
      <c r="AN182" s="83">
        <f>IFERROR(INDEX('Fee Calc'!P:P,MATCH(C182,'Fee Calc'!F:F,0)),0)</f>
        <v>37689671.505018443</v>
      </c>
      <c r="AO182" s="83">
        <f>IFERROR(INDEX('Fee Calc'!Q:Q,MATCH(C182,'Fee Calc'!F:F,0)),0)</f>
        <v>2331520.8358038766</v>
      </c>
      <c r="AP182" s="83">
        <f t="shared" si="59"/>
        <v>40021192.340822317</v>
      </c>
      <c r="AQ182" s="70">
        <f t="shared" si="60"/>
        <v>17090329.807686035</v>
      </c>
      <c r="AR182" s="70">
        <f t="shared" si="61"/>
        <v>8545164.9038430173</v>
      </c>
      <c r="AS182" s="70">
        <f t="shared" si="62"/>
        <v>8545164.9038430173</v>
      </c>
    </row>
    <row r="183" spans="1:45">
      <c r="A183" s="104" t="s">
        <v>443</v>
      </c>
      <c r="B183" s="124" t="s">
        <v>443</v>
      </c>
      <c r="C183" s="31" t="s">
        <v>444</v>
      </c>
      <c r="D183" s="125" t="s">
        <v>444</v>
      </c>
      <c r="E183" s="119" t="s">
        <v>2855</v>
      </c>
      <c r="F183" s="100" t="s">
        <v>2279</v>
      </c>
      <c r="G183" s="100" t="s">
        <v>1365</v>
      </c>
      <c r="H183" s="43" t="str">
        <f t="shared" si="45"/>
        <v>Urban Tarrant</v>
      </c>
      <c r="I183" s="45">
        <f>INDEX('Fee Calc'!M:M,MATCH(C:C,'Fee Calc'!F:F,0))</f>
        <v>0</v>
      </c>
      <c r="J183" s="45">
        <f>INDEX('Fee Calc'!L:L,MATCH(C:C,'Fee Calc'!F:F,0))</f>
        <v>0</v>
      </c>
      <c r="K183" s="45">
        <f t="shared" si="46"/>
        <v>0</v>
      </c>
      <c r="L183" s="45">
        <v>52973.279999999999</v>
      </c>
      <c r="M183" s="45">
        <v>60282.239999999998</v>
      </c>
      <c r="N183" s="45">
        <f t="shared" si="47"/>
        <v>113255.51999999999</v>
      </c>
      <c r="O183" s="45">
        <v>204036.63852852717</v>
      </c>
      <c r="P183" s="45">
        <v>118753.45894367591</v>
      </c>
      <c r="Q183" s="45">
        <f t="shared" si="48"/>
        <v>322790.09747220308</v>
      </c>
      <c r="R183" s="45" t="str">
        <f t="shared" si="49"/>
        <v>Yes</v>
      </c>
      <c r="S183" s="46" t="str">
        <f t="shared" si="49"/>
        <v>Yes</v>
      </c>
      <c r="T183" s="47">
        <f>ROUND(INDEX(Summary!H:H,MATCH(H:H,Summary!A:A,0)),2)</f>
        <v>0.74</v>
      </c>
      <c r="U183" s="47">
        <f>ROUND(INDEX(Summary!I:I,MATCH(H:H,Summary!A:A,0)),2)</f>
        <v>0.49</v>
      </c>
      <c r="V183" s="81">
        <f t="shared" si="50"/>
        <v>0</v>
      </c>
      <c r="W183" s="81">
        <f t="shared" si="50"/>
        <v>0</v>
      </c>
      <c r="X183" s="45">
        <f t="shared" si="51"/>
        <v>0</v>
      </c>
      <c r="Y183" s="45" t="s">
        <v>2752</v>
      </c>
      <c r="Z183" s="45" t="str">
        <f t="shared" si="52"/>
        <v>No</v>
      </c>
      <c r="AA183" s="45" t="str">
        <f t="shared" si="52"/>
        <v>No</v>
      </c>
      <c r="AB183" s="45" t="str">
        <f t="shared" si="53"/>
        <v>No</v>
      </c>
      <c r="AC183" s="82">
        <f t="shared" si="54"/>
        <v>0</v>
      </c>
      <c r="AD183" s="82">
        <f t="shared" si="54"/>
        <v>0</v>
      </c>
      <c r="AE183" s="45">
        <f t="shared" si="55"/>
        <v>0</v>
      </c>
      <c r="AF183" s="45">
        <f t="shared" si="55"/>
        <v>0</v>
      </c>
      <c r="AG183" s="45">
        <f t="shared" si="56"/>
        <v>0</v>
      </c>
      <c r="AH183" s="47">
        <f>IFERROR(ROUNDDOWN(INDEX('90% of ACR'!K:K,MATCH(H:H,'90% of ACR'!A:A,0))*IF(I183&gt;0,IF(O183&gt;0,$R$4*MAX(O183-V183,0),0),0)/I183,2),0)</f>
        <v>0</v>
      </c>
      <c r="AI183" s="82">
        <f>IFERROR(ROUNDDOWN(INDEX('90% of ACR'!R:R,MATCH(H:H,'90% of ACR'!A:A,0))*IF(J183&gt;0,IF(P183&gt;0,$R$4*MAX(P183-W183,0),0),0)/J183,2),0)</f>
        <v>0</v>
      </c>
      <c r="AJ183" s="45">
        <f t="shared" si="57"/>
        <v>0</v>
      </c>
      <c r="AK183" s="45">
        <f t="shared" si="57"/>
        <v>0</v>
      </c>
      <c r="AL183" s="47">
        <f t="shared" si="58"/>
        <v>0.74</v>
      </c>
      <c r="AM183" s="47">
        <f t="shared" si="58"/>
        <v>0.49</v>
      </c>
      <c r="AN183" s="83">
        <f>IFERROR(INDEX('Fee Calc'!P:P,MATCH(C183,'Fee Calc'!F:F,0)),0)</f>
        <v>0</v>
      </c>
      <c r="AO183" s="83">
        <f>IFERROR(INDEX('Fee Calc'!Q:Q,MATCH(C183,'Fee Calc'!F:F,0)),0)</f>
        <v>0</v>
      </c>
      <c r="AP183" s="83">
        <f t="shared" si="59"/>
        <v>0</v>
      </c>
      <c r="AQ183" s="70">
        <f t="shared" si="60"/>
        <v>0</v>
      </c>
      <c r="AR183" s="70">
        <f t="shared" si="61"/>
        <v>0</v>
      </c>
      <c r="AS183" s="70">
        <f t="shared" si="62"/>
        <v>0</v>
      </c>
    </row>
    <row r="184" spans="1:45">
      <c r="A184" s="104" t="s">
        <v>431</v>
      </c>
      <c r="B184" s="124" t="s">
        <v>431</v>
      </c>
      <c r="C184" s="31" t="s">
        <v>432</v>
      </c>
      <c r="D184" s="125" t="s">
        <v>432</v>
      </c>
      <c r="E184" s="119" t="s">
        <v>2856</v>
      </c>
      <c r="F184" s="100" t="s">
        <v>2279</v>
      </c>
      <c r="G184" s="100" t="s">
        <v>223</v>
      </c>
      <c r="H184" s="43" t="str">
        <f t="shared" si="45"/>
        <v>Urban Dallas</v>
      </c>
      <c r="I184" s="45">
        <f>INDEX('Fee Calc'!M:M,MATCH(C:C,'Fee Calc'!F:F,0))</f>
        <v>113795.05673101092</v>
      </c>
      <c r="J184" s="45">
        <f>INDEX('Fee Calc'!L:L,MATCH(C:C,'Fee Calc'!F:F,0))</f>
        <v>27340.878047426977</v>
      </c>
      <c r="K184" s="45">
        <f t="shared" si="46"/>
        <v>141135.93477843789</v>
      </c>
      <c r="L184" s="45">
        <v>519732.71</v>
      </c>
      <c r="M184" s="45">
        <v>271553.55</v>
      </c>
      <c r="N184" s="45">
        <f t="shared" si="47"/>
        <v>791286.26</v>
      </c>
      <c r="O184" s="45">
        <v>2225729.0265708901</v>
      </c>
      <c r="P184" s="45">
        <v>511988.02808698197</v>
      </c>
      <c r="Q184" s="45">
        <f t="shared" si="48"/>
        <v>2737717.0546578718</v>
      </c>
      <c r="R184" s="45" t="str">
        <f t="shared" si="49"/>
        <v>Yes</v>
      </c>
      <c r="S184" s="46" t="str">
        <f t="shared" si="49"/>
        <v>Yes</v>
      </c>
      <c r="T184" s="47">
        <f>ROUND(INDEX(Summary!H:H,MATCH(H:H,Summary!A:A,0)),2)</f>
        <v>0.54</v>
      </c>
      <c r="U184" s="47">
        <f>ROUND(INDEX(Summary!I:I,MATCH(H:H,Summary!A:A,0)),2)</f>
        <v>0.27</v>
      </c>
      <c r="V184" s="81">
        <f t="shared" si="50"/>
        <v>61449.3306347459</v>
      </c>
      <c r="W184" s="81">
        <f t="shared" si="50"/>
        <v>7382.037072805284</v>
      </c>
      <c r="X184" s="45">
        <f t="shared" si="51"/>
        <v>68831.367707551181</v>
      </c>
      <c r="Y184" s="45" t="s">
        <v>2752</v>
      </c>
      <c r="Z184" s="45" t="str">
        <f t="shared" si="52"/>
        <v>Yes</v>
      </c>
      <c r="AA184" s="45" t="str">
        <f t="shared" si="52"/>
        <v>Yes</v>
      </c>
      <c r="AB184" s="45" t="str">
        <f t="shared" si="53"/>
        <v>Yes</v>
      </c>
      <c r="AC184" s="82">
        <f t="shared" si="54"/>
        <v>13.25</v>
      </c>
      <c r="AD184" s="82">
        <f t="shared" si="54"/>
        <v>12.86</v>
      </c>
      <c r="AE184" s="45">
        <f t="shared" si="55"/>
        <v>1507784.5016858946</v>
      </c>
      <c r="AF184" s="45">
        <f t="shared" si="55"/>
        <v>351603.69168991089</v>
      </c>
      <c r="AG184" s="45">
        <f t="shared" si="56"/>
        <v>1859388.1933758054</v>
      </c>
      <c r="AH184" s="47">
        <f>IFERROR(ROUNDDOWN(INDEX('90% of ACR'!K:K,MATCH(H:H,'90% of ACR'!A:A,0))*IF(I184&gt;0,IF(O184&gt;0,$R$4*MAX(O184-V184,0),0),0)/I184,2),0)</f>
        <v>13.24</v>
      </c>
      <c r="AI184" s="82">
        <f>IFERROR(ROUNDDOWN(INDEX('90% of ACR'!R:R,MATCH(H:H,'90% of ACR'!A:A,0))*IF(J184&gt;0,IF(P184&gt;0,$R$4*MAX(P184-W184,0),0),0)/J184,2),0)</f>
        <v>12.85</v>
      </c>
      <c r="AJ184" s="45">
        <f t="shared" si="57"/>
        <v>1506646.5511185846</v>
      </c>
      <c r="AK184" s="45">
        <f t="shared" si="57"/>
        <v>351330.28290943662</v>
      </c>
      <c r="AL184" s="47">
        <f t="shared" si="58"/>
        <v>13.780000000000001</v>
      </c>
      <c r="AM184" s="47">
        <f t="shared" si="58"/>
        <v>13.12</v>
      </c>
      <c r="AN184" s="83">
        <f>IFERROR(INDEX('Fee Calc'!P:P,MATCH(C184,'Fee Calc'!F:F,0)),0)</f>
        <v>1926808.2017355724</v>
      </c>
      <c r="AO184" s="83">
        <f>IFERROR(INDEX('Fee Calc'!Q:Q,MATCH(C184,'Fee Calc'!F:F,0)),0)</f>
        <v>122987.75755758975</v>
      </c>
      <c r="AP184" s="83">
        <f t="shared" si="59"/>
        <v>2049795.9592931622</v>
      </c>
      <c r="AQ184" s="70">
        <f t="shared" si="60"/>
        <v>875328.46808887774</v>
      </c>
      <c r="AR184" s="70">
        <f t="shared" si="61"/>
        <v>437664.23404443887</v>
      </c>
      <c r="AS184" s="70">
        <f t="shared" si="62"/>
        <v>437664.23404443887</v>
      </c>
    </row>
    <row r="185" spans="1:45">
      <c r="A185" s="104" t="s">
        <v>2282</v>
      </c>
      <c r="B185" s="124" t="s">
        <v>2282</v>
      </c>
      <c r="C185" s="31" t="s">
        <v>2283</v>
      </c>
      <c r="D185" s="125" t="s">
        <v>2283</v>
      </c>
      <c r="E185" s="119" t="s">
        <v>2544</v>
      </c>
      <c r="F185" s="100" t="s">
        <v>2279</v>
      </c>
      <c r="G185" s="100" t="s">
        <v>1202</v>
      </c>
      <c r="H185" s="43" t="str">
        <f t="shared" si="45"/>
        <v>Urban Travis</v>
      </c>
      <c r="I185" s="45">
        <f>INDEX('Fee Calc'!M:M,MATCH(C:C,'Fee Calc'!F:F,0))</f>
        <v>6780.619209479345</v>
      </c>
      <c r="J185" s="45">
        <f>INDEX('Fee Calc'!L:L,MATCH(C:C,'Fee Calc'!F:F,0))</f>
        <v>73445.137218222721</v>
      </c>
      <c r="K185" s="45">
        <f t="shared" si="46"/>
        <v>80225.756427702072</v>
      </c>
      <c r="L185" s="45">
        <v>0</v>
      </c>
      <c r="M185" s="45">
        <v>-2503.04</v>
      </c>
      <c r="N185" s="45">
        <f t="shared" si="47"/>
        <v>-2503.04</v>
      </c>
      <c r="O185" s="45">
        <v>0</v>
      </c>
      <c r="P185" s="45">
        <v>24670.907856529746</v>
      </c>
      <c r="Q185" s="45">
        <f t="shared" si="48"/>
        <v>24670.907856529746</v>
      </c>
      <c r="R185" s="45" t="str">
        <f t="shared" si="49"/>
        <v>No</v>
      </c>
      <c r="S185" s="46" t="str">
        <f t="shared" si="49"/>
        <v>Yes</v>
      </c>
      <c r="T185" s="47">
        <f>ROUND(INDEX(Summary!H:H,MATCH(H:H,Summary!A:A,0)),2)</f>
        <v>0.35</v>
      </c>
      <c r="U185" s="47">
        <f>ROUND(INDEX(Summary!I:I,MATCH(H:H,Summary!A:A,0)),2)</f>
        <v>0.92</v>
      </c>
      <c r="V185" s="81">
        <f t="shared" si="50"/>
        <v>2373.2167233177706</v>
      </c>
      <c r="W185" s="81">
        <f t="shared" si="50"/>
        <v>67569.526240764899</v>
      </c>
      <c r="X185" s="45">
        <f t="shared" si="51"/>
        <v>69942.742964082674</v>
      </c>
      <c r="Y185" s="45" t="s">
        <v>2752</v>
      </c>
      <c r="Z185" s="45" t="str">
        <f t="shared" si="52"/>
        <v>No</v>
      </c>
      <c r="AA185" s="45" t="str">
        <f t="shared" si="52"/>
        <v>No</v>
      </c>
      <c r="AB185" s="45" t="str">
        <f t="shared" si="53"/>
        <v>No</v>
      </c>
      <c r="AC185" s="82">
        <f t="shared" si="54"/>
        <v>0</v>
      </c>
      <c r="AD185" s="82">
        <f t="shared" si="54"/>
        <v>0</v>
      </c>
      <c r="AE185" s="45">
        <f t="shared" si="55"/>
        <v>0</v>
      </c>
      <c r="AF185" s="45">
        <f t="shared" si="55"/>
        <v>0</v>
      </c>
      <c r="AG185" s="45">
        <f t="shared" si="56"/>
        <v>0</v>
      </c>
      <c r="AH185" s="47">
        <f>IFERROR(ROUNDDOWN(INDEX('90% of ACR'!K:K,MATCH(H:H,'90% of ACR'!A:A,0))*IF(I185&gt;0,IF(O185&gt;0,$R$4*MAX(O185-V185,0),0),0)/I185,2),0)</f>
        <v>0</v>
      </c>
      <c r="AI185" s="82">
        <f>IFERROR(ROUNDDOWN(INDEX('90% of ACR'!R:R,MATCH(H:H,'90% of ACR'!A:A,0))*IF(J185&gt;0,IF(P185&gt;0,$R$4*MAX(P185-W185,0),0),0)/J185,2),0)</f>
        <v>0</v>
      </c>
      <c r="AJ185" s="45">
        <f t="shared" si="57"/>
        <v>0</v>
      </c>
      <c r="AK185" s="45">
        <f t="shared" si="57"/>
        <v>0</v>
      </c>
      <c r="AL185" s="47">
        <f t="shared" si="58"/>
        <v>0.35</v>
      </c>
      <c r="AM185" s="47">
        <f t="shared" si="58"/>
        <v>0.92</v>
      </c>
      <c r="AN185" s="83">
        <f>IFERROR(INDEX('Fee Calc'!P:P,MATCH(C185,'Fee Calc'!F:F,0)),0)</f>
        <v>69942.742964082674</v>
      </c>
      <c r="AO185" s="83">
        <f>IFERROR(INDEX('Fee Calc'!Q:Q,MATCH(C185,'Fee Calc'!F:F,0)),0)</f>
        <v>4317.6314116417389</v>
      </c>
      <c r="AP185" s="83">
        <f t="shared" si="59"/>
        <v>74260.374375724408</v>
      </c>
      <c r="AQ185" s="70">
        <f t="shared" si="60"/>
        <v>31711.556190414347</v>
      </c>
      <c r="AR185" s="70">
        <f t="shared" si="61"/>
        <v>15855.778095207173</v>
      </c>
      <c r="AS185" s="70">
        <f t="shared" si="62"/>
        <v>15855.778095207173</v>
      </c>
    </row>
    <row r="186" spans="1:45">
      <c r="A186" s="104" t="s">
        <v>2280</v>
      </c>
      <c r="B186" s="124" t="s">
        <v>2280</v>
      </c>
      <c r="C186" s="31" t="s">
        <v>2281</v>
      </c>
      <c r="D186" s="125" t="s">
        <v>2281</v>
      </c>
      <c r="E186" s="119" t="s">
        <v>2544</v>
      </c>
      <c r="F186" s="100" t="s">
        <v>2279</v>
      </c>
      <c r="G186" s="100" t="s">
        <v>1202</v>
      </c>
      <c r="H186" s="43" t="str">
        <f t="shared" si="45"/>
        <v>Urban Travis</v>
      </c>
      <c r="I186" s="45">
        <f>INDEX('Fee Calc'!M:M,MATCH(C:C,'Fee Calc'!F:F,0))</f>
        <v>0</v>
      </c>
      <c r="J186" s="45">
        <f>INDEX('Fee Calc'!L:L,MATCH(C:C,'Fee Calc'!F:F,0))</f>
        <v>113.93431740490766</v>
      </c>
      <c r="K186" s="45">
        <f t="shared" si="46"/>
        <v>113.93431740490766</v>
      </c>
      <c r="L186" s="45">
        <v>0</v>
      </c>
      <c r="M186" s="45">
        <v>412.84</v>
      </c>
      <c r="N186" s="45">
        <f t="shared" si="47"/>
        <v>412.84</v>
      </c>
      <c r="O186" s="45">
        <v>0</v>
      </c>
      <c r="P186" s="45">
        <v>652.81927241289191</v>
      </c>
      <c r="Q186" s="45">
        <f t="shared" si="48"/>
        <v>652.81927241289191</v>
      </c>
      <c r="R186" s="45" t="str">
        <f t="shared" si="49"/>
        <v>No</v>
      </c>
      <c r="S186" s="46" t="str">
        <f t="shared" si="49"/>
        <v>Yes</v>
      </c>
      <c r="T186" s="47">
        <f>ROUND(INDEX(Summary!H:H,MATCH(H:H,Summary!A:A,0)),2)</f>
        <v>0.35</v>
      </c>
      <c r="U186" s="47">
        <f>ROUND(INDEX(Summary!I:I,MATCH(H:H,Summary!A:A,0)),2)</f>
        <v>0.92</v>
      </c>
      <c r="V186" s="81">
        <f t="shared" si="50"/>
        <v>0</v>
      </c>
      <c r="W186" s="81">
        <f t="shared" si="50"/>
        <v>104.81957201251505</v>
      </c>
      <c r="X186" s="45">
        <f t="shared" si="51"/>
        <v>104.81957201251505</v>
      </c>
      <c r="Y186" s="45" t="s">
        <v>2752</v>
      </c>
      <c r="Z186" s="45" t="str">
        <f t="shared" si="52"/>
        <v>No</v>
      </c>
      <c r="AA186" s="45" t="str">
        <f t="shared" si="52"/>
        <v>Yes</v>
      </c>
      <c r="AB186" s="45" t="str">
        <f t="shared" si="53"/>
        <v>Yes</v>
      </c>
      <c r="AC186" s="82">
        <f t="shared" si="54"/>
        <v>0</v>
      </c>
      <c r="AD186" s="82">
        <f t="shared" si="54"/>
        <v>3.35</v>
      </c>
      <c r="AE186" s="45">
        <f t="shared" si="55"/>
        <v>0</v>
      </c>
      <c r="AF186" s="45">
        <f t="shared" si="55"/>
        <v>381.6799633064407</v>
      </c>
      <c r="AG186" s="45">
        <f t="shared" si="56"/>
        <v>381.6799633064407</v>
      </c>
      <c r="AH186" s="47">
        <f>IFERROR(ROUNDDOWN(INDEX('90% of ACR'!K:K,MATCH(H:H,'90% of ACR'!A:A,0))*IF(I186&gt;0,IF(O186&gt;0,$R$4*MAX(O186-V186,0),0),0)/I186,2),0)</f>
        <v>0</v>
      </c>
      <c r="AI186" s="82">
        <f>IFERROR(ROUNDDOWN(INDEX('90% of ACR'!R:R,MATCH(H:H,'90% of ACR'!A:A,0))*IF(J186&gt;0,IF(P186&gt;0,$R$4*MAX(P186-W186,0),0),0)/J186,2),0)</f>
        <v>1.44</v>
      </c>
      <c r="AJ186" s="45">
        <f t="shared" si="57"/>
        <v>0</v>
      </c>
      <c r="AK186" s="45">
        <f t="shared" si="57"/>
        <v>164.06541706306703</v>
      </c>
      <c r="AL186" s="47">
        <f t="shared" si="58"/>
        <v>0.35</v>
      </c>
      <c r="AM186" s="47">
        <f t="shared" si="58"/>
        <v>2.36</v>
      </c>
      <c r="AN186" s="83">
        <f>IFERROR(INDEX('Fee Calc'!P:P,MATCH(C186,'Fee Calc'!F:F,0)),0)</f>
        <v>268.88498907558204</v>
      </c>
      <c r="AO186" s="83">
        <f>IFERROR(INDEX('Fee Calc'!Q:Q,MATCH(C186,'Fee Calc'!F:F,0)),0)</f>
        <v>17.162871643122262</v>
      </c>
      <c r="AP186" s="83">
        <f t="shared" si="59"/>
        <v>286.04786071870433</v>
      </c>
      <c r="AQ186" s="70">
        <f t="shared" si="60"/>
        <v>122.15159005842975</v>
      </c>
      <c r="AR186" s="70">
        <f t="shared" si="61"/>
        <v>61.075795029214873</v>
      </c>
      <c r="AS186" s="70">
        <f t="shared" si="62"/>
        <v>61.075795029214873</v>
      </c>
    </row>
    <row r="187" spans="1:45">
      <c r="A187" s="104" t="s">
        <v>771</v>
      </c>
      <c r="B187" s="124" t="s">
        <v>771</v>
      </c>
      <c r="C187" s="31" t="s">
        <v>772</v>
      </c>
      <c r="D187" s="125" t="s">
        <v>772</v>
      </c>
      <c r="E187" s="119" t="s">
        <v>2645</v>
      </c>
      <c r="F187" s="100" t="s">
        <v>2279</v>
      </c>
      <c r="G187" s="100" t="s">
        <v>300</v>
      </c>
      <c r="H187" s="43" t="str">
        <f t="shared" si="45"/>
        <v>Urban Harris</v>
      </c>
      <c r="I187" s="45">
        <f>INDEX('Fee Calc'!M:M,MATCH(C:C,'Fee Calc'!F:F,0))</f>
        <v>18987901.176170044</v>
      </c>
      <c r="J187" s="45">
        <f>INDEX('Fee Calc'!L:L,MATCH(C:C,'Fee Calc'!F:F,0))</f>
        <v>15444180.122509982</v>
      </c>
      <c r="K187" s="45">
        <f t="shared" si="46"/>
        <v>34432081.298680022</v>
      </c>
      <c r="L187" s="45">
        <v>9559068.8900000006</v>
      </c>
      <c r="M187" s="45">
        <v>1790431.46</v>
      </c>
      <c r="N187" s="45">
        <f t="shared" si="47"/>
        <v>11349500.350000001</v>
      </c>
      <c r="O187" s="45">
        <v>31413110.128751688</v>
      </c>
      <c r="P187" s="45">
        <v>3778734.9923860691</v>
      </c>
      <c r="Q187" s="45">
        <f t="shared" si="48"/>
        <v>35191845.121137753</v>
      </c>
      <c r="R187" s="45" t="str">
        <f t="shared" si="49"/>
        <v>Yes</v>
      </c>
      <c r="S187" s="46" t="str">
        <f t="shared" si="49"/>
        <v>Yes</v>
      </c>
      <c r="T187" s="47">
        <f>ROUND(INDEX(Summary!H:H,MATCH(H:H,Summary!A:A,0)),2)</f>
        <v>1.57</v>
      </c>
      <c r="U187" s="47">
        <f>ROUND(INDEX(Summary!I:I,MATCH(H:H,Summary!A:A,0)),2)</f>
        <v>0.3</v>
      </c>
      <c r="V187" s="81">
        <f t="shared" si="50"/>
        <v>29811004.846586969</v>
      </c>
      <c r="W187" s="81">
        <f t="shared" si="50"/>
        <v>4633254.0367529942</v>
      </c>
      <c r="X187" s="45">
        <f t="shared" si="51"/>
        <v>34444258.883339964</v>
      </c>
      <c r="Y187" s="45" t="s">
        <v>2752</v>
      </c>
      <c r="Z187" s="45" t="str">
        <f t="shared" si="52"/>
        <v>No</v>
      </c>
      <c r="AA187" s="45" t="str">
        <f t="shared" si="52"/>
        <v>No</v>
      </c>
      <c r="AB187" s="45" t="str">
        <f t="shared" si="53"/>
        <v>Yes</v>
      </c>
      <c r="AC187" s="82">
        <f t="shared" si="54"/>
        <v>0.06</v>
      </c>
      <c r="AD187" s="82">
        <f t="shared" si="54"/>
        <v>0</v>
      </c>
      <c r="AE187" s="45">
        <f t="shared" si="55"/>
        <v>1139274.0705702025</v>
      </c>
      <c r="AF187" s="45">
        <f t="shared" si="55"/>
        <v>0</v>
      </c>
      <c r="AG187" s="45">
        <f t="shared" si="56"/>
        <v>1139274.0705702025</v>
      </c>
      <c r="AH187" s="47">
        <f>IFERROR(ROUNDDOWN(INDEX('90% of ACR'!K:K,MATCH(H:H,'90% of ACR'!A:A,0))*IF(I187&gt;0,IF(O187&gt;0,$R$4*MAX(O187-V187,0),0),0)/I187,2),0)</f>
        <v>0</v>
      </c>
      <c r="AI187" s="82">
        <f>IFERROR(ROUNDDOWN(INDEX('90% of ACR'!R:R,MATCH(H:H,'90% of ACR'!A:A,0))*IF(J187&gt;0,IF(P187&gt;0,$R$4*MAX(P187-W187,0),0),0)/J187,2),0)</f>
        <v>0</v>
      </c>
      <c r="AJ187" s="45">
        <f t="shared" si="57"/>
        <v>0</v>
      </c>
      <c r="AK187" s="45">
        <f t="shared" si="57"/>
        <v>0</v>
      </c>
      <c r="AL187" s="47">
        <f t="shared" si="58"/>
        <v>1.57</v>
      </c>
      <c r="AM187" s="47">
        <f t="shared" si="58"/>
        <v>0.3</v>
      </c>
      <c r="AN187" s="83">
        <f>IFERROR(INDEX('Fee Calc'!P:P,MATCH(C187,'Fee Calc'!F:F,0)),0)</f>
        <v>34444258.883339964</v>
      </c>
      <c r="AO187" s="83">
        <f>IFERROR(INDEX('Fee Calc'!Q:Q,MATCH(C187,'Fee Calc'!F:F,0)),0)</f>
        <v>2138379.7599517237</v>
      </c>
      <c r="AP187" s="83">
        <f t="shared" si="59"/>
        <v>36582638.643291689</v>
      </c>
      <c r="AQ187" s="70">
        <f t="shared" si="60"/>
        <v>15621957.345122136</v>
      </c>
      <c r="AR187" s="70">
        <f t="shared" si="61"/>
        <v>7810978.6725610681</v>
      </c>
      <c r="AS187" s="70">
        <f t="shared" si="62"/>
        <v>7810978.6725610681</v>
      </c>
    </row>
    <row r="188" spans="1:45">
      <c r="A188" s="104" t="s">
        <v>566</v>
      </c>
      <c r="B188" s="124" t="s">
        <v>566</v>
      </c>
      <c r="C188" s="31" t="s">
        <v>567</v>
      </c>
      <c r="D188" s="125" t="s">
        <v>567</v>
      </c>
      <c r="E188" s="119" t="s">
        <v>2857</v>
      </c>
      <c r="F188" s="100" t="s">
        <v>2279</v>
      </c>
      <c r="G188" s="100" t="s">
        <v>300</v>
      </c>
      <c r="H188" s="43" t="str">
        <f t="shared" si="45"/>
        <v>Urban Harris</v>
      </c>
      <c r="I188" s="45">
        <f>INDEX('Fee Calc'!M:M,MATCH(C:C,'Fee Calc'!F:F,0))</f>
        <v>1240544.8183846418</v>
      </c>
      <c r="J188" s="45">
        <f>INDEX('Fee Calc'!L:L,MATCH(C:C,'Fee Calc'!F:F,0))</f>
        <v>1457218.9112053346</v>
      </c>
      <c r="K188" s="45">
        <f t="shared" si="46"/>
        <v>2697763.7295899764</v>
      </c>
      <c r="L188" s="45">
        <v>1659605.47</v>
      </c>
      <c r="M188" s="45">
        <v>711664.57</v>
      </c>
      <c r="N188" s="45">
        <f t="shared" si="47"/>
        <v>2371270.04</v>
      </c>
      <c r="O188" s="45">
        <v>3446372.2868905305</v>
      </c>
      <c r="P188" s="45">
        <v>956824.15877256647</v>
      </c>
      <c r="Q188" s="45">
        <f t="shared" si="48"/>
        <v>4403196.4456630973</v>
      </c>
      <c r="R188" s="45" t="str">
        <f t="shared" si="49"/>
        <v>Yes</v>
      </c>
      <c r="S188" s="46" t="str">
        <f t="shared" si="49"/>
        <v>Yes</v>
      </c>
      <c r="T188" s="47">
        <f>ROUND(INDEX(Summary!H:H,MATCH(H:H,Summary!A:A,0)),2)</f>
        <v>1.57</v>
      </c>
      <c r="U188" s="47">
        <f>ROUND(INDEX(Summary!I:I,MATCH(H:H,Summary!A:A,0)),2)</f>
        <v>0.3</v>
      </c>
      <c r="V188" s="81">
        <f t="shared" si="50"/>
        <v>1947655.3648638877</v>
      </c>
      <c r="W188" s="81">
        <f t="shared" si="50"/>
        <v>437165.67336160038</v>
      </c>
      <c r="X188" s="45">
        <f t="shared" si="51"/>
        <v>2384821.0382254878</v>
      </c>
      <c r="Y188" s="45" t="s">
        <v>2752</v>
      </c>
      <c r="Z188" s="45" t="str">
        <f t="shared" si="52"/>
        <v>No</v>
      </c>
      <c r="AA188" s="45" t="str">
        <f t="shared" si="52"/>
        <v>Yes</v>
      </c>
      <c r="AB188" s="45" t="str">
        <f t="shared" si="53"/>
        <v>Yes</v>
      </c>
      <c r="AC188" s="82">
        <f t="shared" si="54"/>
        <v>0.84</v>
      </c>
      <c r="AD188" s="82">
        <f t="shared" si="54"/>
        <v>0.25</v>
      </c>
      <c r="AE188" s="45">
        <f t="shared" si="55"/>
        <v>1042057.6474430991</v>
      </c>
      <c r="AF188" s="45">
        <f t="shared" si="55"/>
        <v>364304.72780133365</v>
      </c>
      <c r="AG188" s="45">
        <f t="shared" si="56"/>
        <v>1406362.3752444326</v>
      </c>
      <c r="AH188" s="47">
        <f>IFERROR(ROUNDDOWN(INDEX('90% of ACR'!K:K,MATCH(H:H,'90% of ACR'!A:A,0))*IF(I188&gt;0,IF(O188&gt;0,$R$4*MAX(O188-V188,0),0),0)/I188,2),0)</f>
        <v>0</v>
      </c>
      <c r="AI188" s="82">
        <f>IFERROR(ROUNDDOWN(INDEX('90% of ACR'!R:R,MATCH(H:H,'90% of ACR'!A:A,0))*IF(J188&gt;0,IF(P188&gt;0,$R$4*MAX(P188-W188,0),0),0)/J188,2),0)</f>
        <v>0.23</v>
      </c>
      <c r="AJ188" s="45">
        <f t="shared" si="57"/>
        <v>0</v>
      </c>
      <c r="AK188" s="45">
        <f t="shared" si="57"/>
        <v>335160.34957722697</v>
      </c>
      <c r="AL188" s="47">
        <f t="shared" si="58"/>
        <v>1.57</v>
      </c>
      <c r="AM188" s="47">
        <f t="shared" si="58"/>
        <v>0.53</v>
      </c>
      <c r="AN188" s="83">
        <f>IFERROR(INDEX('Fee Calc'!P:P,MATCH(C188,'Fee Calc'!F:F,0)),0)</f>
        <v>2719981.3878027149</v>
      </c>
      <c r="AO188" s="83">
        <f>IFERROR(INDEX('Fee Calc'!Q:Q,MATCH(C188,'Fee Calc'!F:F,0)),0)</f>
        <v>171257.26073987602</v>
      </c>
      <c r="AP188" s="83">
        <f t="shared" si="59"/>
        <v>2891238.6485425909</v>
      </c>
      <c r="AQ188" s="70">
        <f t="shared" si="60"/>
        <v>1234651.4225644395</v>
      </c>
      <c r="AR188" s="70">
        <f t="shared" si="61"/>
        <v>617325.71128221974</v>
      </c>
      <c r="AS188" s="70">
        <f t="shared" si="62"/>
        <v>617325.71128221974</v>
      </c>
    </row>
    <row r="189" spans="1:45">
      <c r="A189" s="104" t="s">
        <v>950</v>
      </c>
      <c r="B189" s="124" t="s">
        <v>950</v>
      </c>
      <c r="C189" s="31" t="s">
        <v>951</v>
      </c>
      <c r="D189" s="125" t="s">
        <v>951</v>
      </c>
      <c r="E189" s="119" t="s">
        <v>2629</v>
      </c>
      <c r="F189" s="100" t="s">
        <v>2279</v>
      </c>
      <c r="G189" s="100" t="s">
        <v>300</v>
      </c>
      <c r="H189" s="43" t="str">
        <f t="shared" si="45"/>
        <v>Urban Harris</v>
      </c>
      <c r="I189" s="45">
        <f>INDEX('Fee Calc'!M:M,MATCH(C:C,'Fee Calc'!F:F,0))</f>
        <v>648053.33772989176</v>
      </c>
      <c r="J189" s="45">
        <f>INDEX('Fee Calc'!L:L,MATCH(C:C,'Fee Calc'!F:F,0))</f>
        <v>2170718.1717044758</v>
      </c>
      <c r="K189" s="45">
        <f t="shared" si="46"/>
        <v>2818771.5094343675</v>
      </c>
      <c r="L189" s="45">
        <v>463899.98</v>
      </c>
      <c r="M189" s="45">
        <v>8413.64</v>
      </c>
      <c r="N189" s="45">
        <f t="shared" si="47"/>
        <v>472313.62</v>
      </c>
      <c r="O189" s="45">
        <v>2056855.3857753891</v>
      </c>
      <c r="P189" s="45">
        <v>333637.13297480531</v>
      </c>
      <c r="Q189" s="45">
        <f t="shared" si="48"/>
        <v>2390492.5187501945</v>
      </c>
      <c r="R189" s="45" t="str">
        <f t="shared" si="49"/>
        <v>Yes</v>
      </c>
      <c r="S189" s="46" t="str">
        <f t="shared" si="49"/>
        <v>Yes</v>
      </c>
      <c r="T189" s="47">
        <f>ROUND(INDEX(Summary!H:H,MATCH(H:H,Summary!A:A,0)),2)</f>
        <v>1.57</v>
      </c>
      <c r="U189" s="47">
        <f>ROUND(INDEX(Summary!I:I,MATCH(H:H,Summary!A:A,0)),2)</f>
        <v>0.3</v>
      </c>
      <c r="V189" s="81">
        <f t="shared" si="50"/>
        <v>1017443.7402359301</v>
      </c>
      <c r="W189" s="81">
        <f t="shared" si="50"/>
        <v>651215.45151134266</v>
      </c>
      <c r="X189" s="45">
        <f t="shared" si="51"/>
        <v>1668659.1917472729</v>
      </c>
      <c r="Y189" s="45" t="s">
        <v>2752</v>
      </c>
      <c r="Z189" s="45" t="str">
        <f t="shared" si="52"/>
        <v>No</v>
      </c>
      <c r="AA189" s="45" t="str">
        <f t="shared" si="52"/>
        <v>No</v>
      </c>
      <c r="AB189" s="45" t="str">
        <f t="shared" si="53"/>
        <v>Yes</v>
      </c>
      <c r="AC189" s="82">
        <f t="shared" si="54"/>
        <v>1.1200000000000001</v>
      </c>
      <c r="AD189" s="82">
        <f t="shared" si="54"/>
        <v>0</v>
      </c>
      <c r="AE189" s="45">
        <f t="shared" si="55"/>
        <v>725819.73825747881</v>
      </c>
      <c r="AF189" s="45">
        <f t="shared" si="55"/>
        <v>0</v>
      </c>
      <c r="AG189" s="45">
        <f t="shared" si="56"/>
        <v>725819.73825747881</v>
      </c>
      <c r="AH189" s="47">
        <f>IFERROR(ROUNDDOWN(INDEX('90% of ACR'!K:K,MATCH(H:H,'90% of ACR'!A:A,0))*IF(I189&gt;0,IF(O189&gt;0,$R$4*MAX(O189-V189,0),0),0)/I189,2),0)</f>
        <v>0</v>
      </c>
      <c r="AI189" s="82">
        <f>IFERROR(ROUNDDOWN(INDEX('90% of ACR'!R:R,MATCH(H:H,'90% of ACR'!A:A,0))*IF(J189&gt;0,IF(P189&gt;0,$R$4*MAX(P189-W189,0),0),0)/J189,2),0)</f>
        <v>0</v>
      </c>
      <c r="AJ189" s="45">
        <f t="shared" si="57"/>
        <v>0</v>
      </c>
      <c r="AK189" s="45">
        <f t="shared" si="57"/>
        <v>0</v>
      </c>
      <c r="AL189" s="47">
        <f t="shared" si="58"/>
        <v>1.57</v>
      </c>
      <c r="AM189" s="47">
        <f t="shared" si="58"/>
        <v>0.3</v>
      </c>
      <c r="AN189" s="83">
        <f>IFERROR(INDEX('Fee Calc'!P:P,MATCH(C189,'Fee Calc'!F:F,0)),0)</f>
        <v>1668659.1917472729</v>
      </c>
      <c r="AO189" s="83">
        <f>IFERROR(INDEX('Fee Calc'!Q:Q,MATCH(C189,'Fee Calc'!F:F,0)),0)</f>
        <v>103843.32047948023</v>
      </c>
      <c r="AP189" s="83">
        <f t="shared" si="59"/>
        <v>1772502.5122267532</v>
      </c>
      <c r="AQ189" s="70">
        <f t="shared" si="60"/>
        <v>756915.29280121496</v>
      </c>
      <c r="AR189" s="70">
        <f t="shared" si="61"/>
        <v>378457.64640060748</v>
      </c>
      <c r="AS189" s="70">
        <f t="shared" si="62"/>
        <v>378457.64640060748</v>
      </c>
    </row>
    <row r="190" spans="1:45">
      <c r="A190" s="104" t="s">
        <v>572</v>
      </c>
      <c r="B190" s="124" t="s">
        <v>572</v>
      </c>
      <c r="C190" s="31" t="s">
        <v>573</v>
      </c>
      <c r="D190" s="125" t="s">
        <v>573</v>
      </c>
      <c r="E190" s="119" t="s">
        <v>2678</v>
      </c>
      <c r="F190" s="100" t="s">
        <v>2279</v>
      </c>
      <c r="G190" s="100" t="s">
        <v>300</v>
      </c>
      <c r="H190" s="43" t="str">
        <f t="shared" si="45"/>
        <v>Urban Harris</v>
      </c>
      <c r="I190" s="45">
        <f>INDEX('Fee Calc'!M:M,MATCH(C:C,'Fee Calc'!F:F,0))</f>
        <v>41090483.713125356</v>
      </c>
      <c r="J190" s="45">
        <f>INDEX('Fee Calc'!L:L,MATCH(C:C,'Fee Calc'!F:F,0))</f>
        <v>5758366.911128303</v>
      </c>
      <c r="K190" s="45">
        <f t="shared" si="46"/>
        <v>46848850.62425366</v>
      </c>
      <c r="L190" s="45">
        <v>453437705.91000003</v>
      </c>
      <c r="M190" s="45">
        <v>2057352.62</v>
      </c>
      <c r="N190" s="45">
        <f t="shared" si="47"/>
        <v>455495058.53000003</v>
      </c>
      <c r="O190" s="45">
        <v>125424096.71898788</v>
      </c>
      <c r="P190" s="45">
        <v>1435494.4740157002</v>
      </c>
      <c r="Q190" s="45">
        <f t="shared" si="48"/>
        <v>126859591.19300358</v>
      </c>
      <c r="R190" s="45" t="str">
        <f t="shared" si="49"/>
        <v>Yes</v>
      </c>
      <c r="S190" s="46" t="str">
        <f t="shared" si="49"/>
        <v>Yes</v>
      </c>
      <c r="T190" s="47">
        <f>ROUND(INDEX(Summary!H:H,MATCH(H:H,Summary!A:A,0)),2)</f>
        <v>1.57</v>
      </c>
      <c r="U190" s="47">
        <f>ROUND(INDEX(Summary!I:I,MATCH(H:H,Summary!A:A,0)),2)</f>
        <v>0.3</v>
      </c>
      <c r="V190" s="81">
        <f t="shared" si="50"/>
        <v>64512059.42960681</v>
      </c>
      <c r="W190" s="81">
        <f t="shared" si="50"/>
        <v>1727510.0733384909</v>
      </c>
      <c r="X190" s="45">
        <f t="shared" si="51"/>
        <v>66239569.502945304</v>
      </c>
      <c r="Y190" s="45" t="s">
        <v>2752</v>
      </c>
      <c r="Z190" s="45" t="str">
        <f t="shared" si="52"/>
        <v>No</v>
      </c>
      <c r="AA190" s="45" t="str">
        <f t="shared" si="52"/>
        <v>No</v>
      </c>
      <c r="AB190" s="45" t="str">
        <f t="shared" si="53"/>
        <v>Yes</v>
      </c>
      <c r="AC190" s="82">
        <f t="shared" si="54"/>
        <v>1.03</v>
      </c>
      <c r="AD190" s="82">
        <f t="shared" si="54"/>
        <v>0</v>
      </c>
      <c r="AE190" s="45">
        <f t="shared" si="55"/>
        <v>42323198.224519119</v>
      </c>
      <c r="AF190" s="45">
        <f t="shared" si="55"/>
        <v>0</v>
      </c>
      <c r="AG190" s="45">
        <f t="shared" si="56"/>
        <v>42323198.224519119</v>
      </c>
      <c r="AH190" s="47">
        <f>IFERROR(ROUNDDOWN(INDEX('90% of ACR'!K:K,MATCH(H:H,'90% of ACR'!A:A,0))*IF(I190&gt;0,IF(O190&gt;0,$R$4*MAX(O190-V190,0),0),0)/I190,2),0)</f>
        <v>0</v>
      </c>
      <c r="AI190" s="82">
        <f>IFERROR(ROUNDDOWN(INDEX('90% of ACR'!R:R,MATCH(H:H,'90% of ACR'!A:A,0))*IF(J190&gt;0,IF(P190&gt;0,$R$4*MAX(P190-W190,0),0),0)/J190,2),0)</f>
        <v>0</v>
      </c>
      <c r="AJ190" s="45">
        <f t="shared" si="57"/>
        <v>0</v>
      </c>
      <c r="AK190" s="45">
        <f t="shared" si="57"/>
        <v>0</v>
      </c>
      <c r="AL190" s="47">
        <f t="shared" si="58"/>
        <v>1.57</v>
      </c>
      <c r="AM190" s="47">
        <f t="shared" si="58"/>
        <v>0.3</v>
      </c>
      <c r="AN190" s="83">
        <f>IFERROR(INDEX('Fee Calc'!P:P,MATCH(C190,'Fee Calc'!F:F,0)),0)</f>
        <v>66239569.502945304</v>
      </c>
      <c r="AO190" s="83">
        <f>IFERROR(INDEX('Fee Calc'!Q:Q,MATCH(C190,'Fee Calc'!F:F,0)),0)</f>
        <v>4041976.0721663432</v>
      </c>
      <c r="AP190" s="83">
        <f t="shared" si="59"/>
        <v>70281545.575111642</v>
      </c>
      <c r="AQ190" s="70">
        <f t="shared" si="60"/>
        <v>30012468.970031071</v>
      </c>
      <c r="AR190" s="70">
        <f t="shared" si="61"/>
        <v>15006234.485015536</v>
      </c>
      <c r="AS190" s="70">
        <f t="shared" si="62"/>
        <v>15006234.485015536</v>
      </c>
    </row>
    <row r="191" spans="1:45">
      <c r="A191" s="104" t="s">
        <v>874</v>
      </c>
      <c r="B191" s="124" t="s">
        <v>874</v>
      </c>
      <c r="C191" s="31" t="s">
        <v>875</v>
      </c>
      <c r="D191" s="125" t="s">
        <v>875</v>
      </c>
      <c r="E191" s="119" t="s">
        <v>2858</v>
      </c>
      <c r="F191" s="100" t="s">
        <v>2279</v>
      </c>
      <c r="G191" s="100" t="s">
        <v>223</v>
      </c>
      <c r="H191" s="43" t="str">
        <f t="shared" si="45"/>
        <v>Urban Dallas</v>
      </c>
      <c r="I191" s="45">
        <f>INDEX('Fee Calc'!M:M,MATCH(C:C,'Fee Calc'!F:F,0))</f>
        <v>12360550.346555691</v>
      </c>
      <c r="J191" s="45">
        <f>INDEX('Fee Calc'!L:L,MATCH(C:C,'Fee Calc'!F:F,0))</f>
        <v>4211420.9826570814</v>
      </c>
      <c r="K191" s="45">
        <f t="shared" si="46"/>
        <v>16571971.329212774</v>
      </c>
      <c r="L191" s="45">
        <v>9349464.1300000008</v>
      </c>
      <c r="M191" s="45">
        <v>2269516.79</v>
      </c>
      <c r="N191" s="45">
        <f t="shared" si="47"/>
        <v>11618980.920000002</v>
      </c>
      <c r="O191" s="45">
        <v>25148065.997533202</v>
      </c>
      <c r="P191" s="45">
        <v>4812489.5380218336</v>
      </c>
      <c r="Q191" s="45">
        <f t="shared" si="48"/>
        <v>29960555.535555035</v>
      </c>
      <c r="R191" s="45" t="str">
        <f t="shared" si="49"/>
        <v>Yes</v>
      </c>
      <c r="S191" s="46" t="str">
        <f t="shared" si="49"/>
        <v>Yes</v>
      </c>
      <c r="T191" s="47">
        <f>ROUND(INDEX(Summary!H:H,MATCH(H:H,Summary!A:A,0)),2)</f>
        <v>0.54</v>
      </c>
      <c r="U191" s="47">
        <f>ROUND(INDEX(Summary!I:I,MATCH(H:H,Summary!A:A,0)),2)</f>
        <v>0.27</v>
      </c>
      <c r="V191" s="81">
        <f t="shared" si="50"/>
        <v>6674697.1871400736</v>
      </c>
      <c r="W191" s="81">
        <f t="shared" si="50"/>
        <v>1137083.665317412</v>
      </c>
      <c r="X191" s="45">
        <f t="shared" si="51"/>
        <v>7811780.8524574861</v>
      </c>
      <c r="Y191" s="45" t="s">
        <v>2752</v>
      </c>
      <c r="Z191" s="45" t="str">
        <f t="shared" si="52"/>
        <v>Yes</v>
      </c>
      <c r="AA191" s="45" t="str">
        <f t="shared" si="52"/>
        <v>Yes</v>
      </c>
      <c r="AB191" s="45" t="str">
        <f t="shared" si="53"/>
        <v>Yes</v>
      </c>
      <c r="AC191" s="82">
        <f t="shared" si="54"/>
        <v>1.04</v>
      </c>
      <c r="AD191" s="82">
        <f t="shared" si="54"/>
        <v>0.61</v>
      </c>
      <c r="AE191" s="45">
        <f t="shared" si="55"/>
        <v>12854972.360417919</v>
      </c>
      <c r="AF191" s="45">
        <f t="shared" si="55"/>
        <v>2568966.7994208196</v>
      </c>
      <c r="AG191" s="45">
        <f t="shared" si="56"/>
        <v>15423939.15983874</v>
      </c>
      <c r="AH191" s="47">
        <f>IFERROR(ROUNDDOWN(INDEX('90% of ACR'!K:K,MATCH(H:H,'90% of ACR'!A:A,0))*IF(I191&gt;0,IF(O191&gt;0,$R$4*MAX(O191-V191,0),0),0)/I191,2),0)</f>
        <v>1.04</v>
      </c>
      <c r="AI191" s="82">
        <f>IFERROR(ROUNDDOWN(INDEX('90% of ACR'!R:R,MATCH(H:H,'90% of ACR'!A:A,0))*IF(J191&gt;0,IF(P191&gt;0,$R$4*MAX(P191-W191,0),0),0)/J191,2),0)</f>
        <v>0.6</v>
      </c>
      <c r="AJ191" s="45">
        <f t="shared" si="57"/>
        <v>12854972.360417919</v>
      </c>
      <c r="AK191" s="45">
        <f t="shared" si="57"/>
        <v>2526852.5895942487</v>
      </c>
      <c r="AL191" s="47">
        <f t="shared" si="58"/>
        <v>1.58</v>
      </c>
      <c r="AM191" s="47">
        <f t="shared" si="58"/>
        <v>0.87</v>
      </c>
      <c r="AN191" s="83">
        <f>IFERROR(INDEX('Fee Calc'!P:P,MATCH(C191,'Fee Calc'!F:F,0)),0)</f>
        <v>23193605.802469656</v>
      </c>
      <c r="AO191" s="83">
        <f>IFERROR(INDEX('Fee Calc'!Q:Q,MATCH(C191,'Fee Calc'!F:F,0)),0)</f>
        <v>1444693.1717808612</v>
      </c>
      <c r="AP191" s="83">
        <f t="shared" si="59"/>
        <v>24638298.974250518</v>
      </c>
      <c r="AQ191" s="70">
        <f t="shared" si="60"/>
        <v>10521342.087572148</v>
      </c>
      <c r="AR191" s="70">
        <f t="shared" si="61"/>
        <v>5260671.043786074</v>
      </c>
      <c r="AS191" s="70">
        <f t="shared" si="62"/>
        <v>5260671.043786074</v>
      </c>
    </row>
    <row r="192" spans="1:45">
      <c r="A192" s="104" t="s">
        <v>880</v>
      </c>
      <c r="B192" s="124" t="s">
        <v>880</v>
      </c>
      <c r="C192" s="31" t="s">
        <v>881</v>
      </c>
      <c r="D192" s="125" t="s">
        <v>881</v>
      </c>
      <c r="E192" s="119" t="s">
        <v>2859</v>
      </c>
      <c r="F192" s="100" t="s">
        <v>2279</v>
      </c>
      <c r="G192" s="100" t="s">
        <v>223</v>
      </c>
      <c r="H192" s="43" t="str">
        <f t="shared" si="45"/>
        <v>Urban Dallas</v>
      </c>
      <c r="I192" s="45">
        <f>INDEX('Fee Calc'!M:M,MATCH(C:C,'Fee Calc'!F:F,0))</f>
        <v>23691877.677400328</v>
      </c>
      <c r="J192" s="45">
        <f>INDEX('Fee Calc'!L:L,MATCH(C:C,'Fee Calc'!F:F,0))</f>
        <v>4918805.8532883218</v>
      </c>
      <c r="K192" s="45">
        <f t="shared" si="46"/>
        <v>28610683.530688651</v>
      </c>
      <c r="L192" s="45">
        <v>17277809.390000001</v>
      </c>
      <c r="M192" s="45">
        <v>4791843.9000000004</v>
      </c>
      <c r="N192" s="45">
        <f t="shared" si="47"/>
        <v>22069653.289999999</v>
      </c>
      <c r="O192" s="45">
        <v>36769859.660057321</v>
      </c>
      <c r="P192" s="45">
        <v>7424692.8130317098</v>
      </c>
      <c r="Q192" s="45">
        <f t="shared" si="48"/>
        <v>44194552.473089032</v>
      </c>
      <c r="R192" s="45" t="str">
        <f t="shared" si="49"/>
        <v>Yes</v>
      </c>
      <c r="S192" s="46" t="str">
        <f t="shared" si="49"/>
        <v>Yes</v>
      </c>
      <c r="T192" s="47">
        <f>ROUND(INDEX(Summary!H:H,MATCH(H:H,Summary!A:A,0)),2)</f>
        <v>0.54</v>
      </c>
      <c r="U192" s="47">
        <f>ROUND(INDEX(Summary!I:I,MATCH(H:H,Summary!A:A,0)),2)</f>
        <v>0.27</v>
      </c>
      <c r="V192" s="81">
        <f t="shared" si="50"/>
        <v>12793613.945796179</v>
      </c>
      <c r="W192" s="81">
        <f t="shared" si="50"/>
        <v>1328077.580387847</v>
      </c>
      <c r="X192" s="45">
        <f t="shared" si="51"/>
        <v>14121691.526184026</v>
      </c>
      <c r="Y192" s="45" t="s">
        <v>2752</v>
      </c>
      <c r="Z192" s="45" t="str">
        <f t="shared" si="52"/>
        <v>Yes</v>
      </c>
      <c r="AA192" s="45" t="str">
        <f t="shared" si="52"/>
        <v>Yes</v>
      </c>
      <c r="AB192" s="45" t="str">
        <f t="shared" si="53"/>
        <v>Yes</v>
      </c>
      <c r="AC192" s="82">
        <f t="shared" si="54"/>
        <v>0.71</v>
      </c>
      <c r="AD192" s="82">
        <f t="shared" si="54"/>
        <v>0.86</v>
      </c>
      <c r="AE192" s="45">
        <f t="shared" si="55"/>
        <v>16821233.150954232</v>
      </c>
      <c r="AF192" s="45">
        <f t="shared" si="55"/>
        <v>4230173.0338279568</v>
      </c>
      <c r="AG192" s="45">
        <f t="shared" si="56"/>
        <v>21051406.184782188</v>
      </c>
      <c r="AH192" s="47">
        <f>IFERROR(ROUNDDOWN(INDEX('90% of ACR'!K:K,MATCH(H:H,'90% of ACR'!A:A,0))*IF(I192&gt;0,IF(O192&gt;0,$R$4*MAX(O192-V192,0),0),0)/I192,2),0)</f>
        <v>0.7</v>
      </c>
      <c r="AI192" s="82">
        <f>IFERROR(ROUNDDOWN(INDEX('90% of ACR'!R:R,MATCH(H:H,'90% of ACR'!A:A,0))*IF(J192&gt;0,IF(P192&gt;0,$R$4*MAX(P192-W192,0),0),0)/J192,2),0)</f>
        <v>0.86</v>
      </c>
      <c r="AJ192" s="45">
        <f t="shared" si="57"/>
        <v>16584314.374180229</v>
      </c>
      <c r="AK192" s="45">
        <f t="shared" si="57"/>
        <v>4230173.0338279568</v>
      </c>
      <c r="AL192" s="47">
        <f t="shared" si="58"/>
        <v>1.24</v>
      </c>
      <c r="AM192" s="47">
        <f t="shared" si="58"/>
        <v>1.1299999999999999</v>
      </c>
      <c r="AN192" s="83">
        <f>IFERROR(INDEX('Fee Calc'!P:P,MATCH(C192,'Fee Calc'!F:F,0)),0)</f>
        <v>34936178.93419221</v>
      </c>
      <c r="AO192" s="83">
        <f>IFERROR(INDEX('Fee Calc'!Q:Q,MATCH(C192,'Fee Calc'!F:F,0)),0)</f>
        <v>2168547.6594328955</v>
      </c>
      <c r="AP192" s="83">
        <f t="shared" si="59"/>
        <v>37104726.593625106</v>
      </c>
      <c r="AQ192" s="70">
        <f t="shared" si="60"/>
        <v>15844905.606728915</v>
      </c>
      <c r="AR192" s="70">
        <f t="shared" si="61"/>
        <v>7922452.8033644576</v>
      </c>
      <c r="AS192" s="70">
        <f t="shared" si="62"/>
        <v>7922452.8033644576</v>
      </c>
    </row>
    <row r="193" spans="1:45">
      <c r="A193" s="104" t="s">
        <v>264</v>
      </c>
      <c r="B193" s="124" t="s">
        <v>264</v>
      </c>
      <c r="C193" s="31" t="s">
        <v>265</v>
      </c>
      <c r="D193" s="125" t="s">
        <v>265</v>
      </c>
      <c r="E193" s="119" t="s">
        <v>2860</v>
      </c>
      <c r="F193" s="100" t="s">
        <v>2279</v>
      </c>
      <c r="G193" s="100" t="s">
        <v>1365</v>
      </c>
      <c r="H193" s="43" t="str">
        <f t="shared" si="45"/>
        <v>Urban Tarrant</v>
      </c>
      <c r="I193" s="45">
        <f>INDEX('Fee Calc'!M:M,MATCH(C:C,'Fee Calc'!F:F,0))</f>
        <v>3441698.4463998675</v>
      </c>
      <c r="J193" s="45">
        <f>INDEX('Fee Calc'!L:L,MATCH(C:C,'Fee Calc'!F:F,0))</f>
        <v>1391423.162625653</v>
      </c>
      <c r="K193" s="45">
        <f t="shared" si="46"/>
        <v>4833121.6090255203</v>
      </c>
      <c r="L193" s="45">
        <v>1592240.71</v>
      </c>
      <c r="M193" s="45">
        <v>852969.2</v>
      </c>
      <c r="N193" s="45">
        <f t="shared" si="47"/>
        <v>2445209.91</v>
      </c>
      <c r="O193" s="45">
        <v>8037141.424306456</v>
      </c>
      <c r="P193" s="45">
        <v>1754510.0209341282</v>
      </c>
      <c r="Q193" s="45">
        <f t="shared" si="48"/>
        <v>9791651.4452405833</v>
      </c>
      <c r="R193" s="45" t="str">
        <f t="shared" si="49"/>
        <v>Yes</v>
      </c>
      <c r="S193" s="46" t="str">
        <f t="shared" si="49"/>
        <v>Yes</v>
      </c>
      <c r="T193" s="47">
        <f>ROUND(INDEX(Summary!H:H,MATCH(H:H,Summary!A:A,0)),2)</f>
        <v>0.74</v>
      </c>
      <c r="U193" s="47">
        <f>ROUND(INDEX(Summary!I:I,MATCH(H:H,Summary!A:A,0)),2)</f>
        <v>0.49</v>
      </c>
      <c r="V193" s="81">
        <f t="shared" si="50"/>
        <v>2546856.8503359021</v>
      </c>
      <c r="W193" s="81">
        <f t="shared" si="50"/>
        <v>681797.34968657</v>
      </c>
      <c r="X193" s="45">
        <f t="shared" si="51"/>
        <v>3228654.2000224721</v>
      </c>
      <c r="Y193" s="45" t="s">
        <v>2752</v>
      </c>
      <c r="Z193" s="45" t="str">
        <f t="shared" si="52"/>
        <v>Yes</v>
      </c>
      <c r="AA193" s="45" t="str">
        <f t="shared" si="52"/>
        <v>Yes</v>
      </c>
      <c r="AB193" s="45" t="str">
        <f t="shared" si="53"/>
        <v>Yes</v>
      </c>
      <c r="AC193" s="82">
        <f t="shared" si="54"/>
        <v>1.1100000000000001</v>
      </c>
      <c r="AD193" s="82">
        <f t="shared" si="54"/>
        <v>0.54</v>
      </c>
      <c r="AE193" s="45">
        <f t="shared" si="55"/>
        <v>3820285.2755038533</v>
      </c>
      <c r="AF193" s="45">
        <f t="shared" si="55"/>
        <v>751368.50781785266</v>
      </c>
      <c r="AG193" s="45">
        <f t="shared" si="56"/>
        <v>4571653.7833217056</v>
      </c>
      <c r="AH193" s="47">
        <f>IFERROR(ROUNDDOWN(INDEX('90% of ACR'!K:K,MATCH(H:H,'90% of ACR'!A:A,0))*IF(I193&gt;0,IF(O193&gt;0,$R$4*MAX(O193-V193,0),0),0)/I193,2),0)</f>
        <v>1.1100000000000001</v>
      </c>
      <c r="AI193" s="82">
        <f>IFERROR(ROUNDDOWN(INDEX('90% of ACR'!R:R,MATCH(H:H,'90% of ACR'!A:A,0))*IF(J193&gt;0,IF(P193&gt;0,$R$4*MAX(P193-W193,0),0),0)/J193,2),0)</f>
        <v>0.52</v>
      </c>
      <c r="AJ193" s="45">
        <f t="shared" si="57"/>
        <v>3820285.2755038533</v>
      </c>
      <c r="AK193" s="45">
        <f t="shared" si="57"/>
        <v>723540.04456533957</v>
      </c>
      <c r="AL193" s="47">
        <f t="shared" si="58"/>
        <v>1.85</v>
      </c>
      <c r="AM193" s="47">
        <f t="shared" si="58"/>
        <v>1.01</v>
      </c>
      <c r="AN193" s="83">
        <f>IFERROR(INDEX('Fee Calc'!P:P,MATCH(C193,'Fee Calc'!F:F,0)),0)</f>
        <v>7772479.520091664</v>
      </c>
      <c r="AO193" s="83">
        <f>IFERROR(INDEX('Fee Calc'!Q:Q,MATCH(C193,'Fee Calc'!F:F,0)),0)</f>
        <v>479323.35335547873</v>
      </c>
      <c r="AP193" s="83">
        <f t="shared" si="59"/>
        <v>8251802.8734471425</v>
      </c>
      <c r="AQ193" s="70">
        <f t="shared" si="60"/>
        <v>3523783.8846538798</v>
      </c>
      <c r="AR193" s="70">
        <f t="shared" si="61"/>
        <v>1761891.9423269399</v>
      </c>
      <c r="AS193" s="70">
        <f t="shared" si="62"/>
        <v>1761891.9423269399</v>
      </c>
    </row>
    <row r="194" spans="1:45">
      <c r="A194" s="104" t="s">
        <v>267</v>
      </c>
      <c r="B194" s="124" t="s">
        <v>267</v>
      </c>
      <c r="C194" s="31" t="s">
        <v>268</v>
      </c>
      <c r="D194" s="125" t="s">
        <v>268</v>
      </c>
      <c r="E194" s="119" t="s">
        <v>2861</v>
      </c>
      <c r="F194" s="100" t="s">
        <v>2279</v>
      </c>
      <c r="G194" s="100" t="s">
        <v>223</v>
      </c>
      <c r="H194" s="43" t="str">
        <f t="shared" si="45"/>
        <v>Urban Dallas</v>
      </c>
      <c r="I194" s="45">
        <f>INDEX('Fee Calc'!M:M,MATCH(C:C,'Fee Calc'!F:F,0))</f>
        <v>6437745.3484697966</v>
      </c>
      <c r="J194" s="45">
        <f>INDEX('Fee Calc'!L:L,MATCH(C:C,'Fee Calc'!F:F,0))</f>
        <v>1809869.3292249716</v>
      </c>
      <c r="K194" s="45">
        <f t="shared" si="46"/>
        <v>8247614.6776947677</v>
      </c>
      <c r="L194" s="45">
        <v>2684742.61</v>
      </c>
      <c r="M194" s="45">
        <v>1041140.45</v>
      </c>
      <c r="N194" s="45">
        <f t="shared" si="47"/>
        <v>3725883.0599999996</v>
      </c>
      <c r="O194" s="45">
        <v>13030173.103443114</v>
      </c>
      <c r="P194" s="45">
        <v>1731444.954709867</v>
      </c>
      <c r="Q194" s="45">
        <f t="shared" si="48"/>
        <v>14761618.058152981</v>
      </c>
      <c r="R194" s="45" t="str">
        <f t="shared" si="49"/>
        <v>Yes</v>
      </c>
      <c r="S194" s="46" t="str">
        <f t="shared" si="49"/>
        <v>Yes</v>
      </c>
      <c r="T194" s="47">
        <f>ROUND(INDEX(Summary!H:H,MATCH(H:H,Summary!A:A,0)),2)</f>
        <v>0.54</v>
      </c>
      <c r="U194" s="47">
        <f>ROUND(INDEX(Summary!I:I,MATCH(H:H,Summary!A:A,0)),2)</f>
        <v>0.27</v>
      </c>
      <c r="V194" s="81">
        <f t="shared" si="50"/>
        <v>3476382.4881736902</v>
      </c>
      <c r="W194" s="81">
        <f t="shared" si="50"/>
        <v>488664.71889074234</v>
      </c>
      <c r="X194" s="45">
        <f t="shared" si="51"/>
        <v>3965047.2070644326</v>
      </c>
      <c r="Y194" s="45" t="s">
        <v>2752</v>
      </c>
      <c r="Z194" s="45" t="str">
        <f t="shared" si="52"/>
        <v>Yes</v>
      </c>
      <c r="AA194" s="45" t="str">
        <f t="shared" si="52"/>
        <v>Yes</v>
      </c>
      <c r="AB194" s="45" t="str">
        <f t="shared" si="53"/>
        <v>Yes</v>
      </c>
      <c r="AC194" s="82">
        <f t="shared" si="54"/>
        <v>1.03</v>
      </c>
      <c r="AD194" s="82">
        <f t="shared" si="54"/>
        <v>0.48</v>
      </c>
      <c r="AE194" s="45">
        <f t="shared" si="55"/>
        <v>6630877.7089238903</v>
      </c>
      <c r="AF194" s="45">
        <f t="shared" si="55"/>
        <v>868737.27802798629</v>
      </c>
      <c r="AG194" s="45">
        <f t="shared" si="56"/>
        <v>7499614.9869518764</v>
      </c>
      <c r="AH194" s="47">
        <f>IFERROR(ROUNDDOWN(INDEX('90% of ACR'!K:K,MATCH(H:H,'90% of ACR'!A:A,0))*IF(I194&gt;0,IF(O194&gt;0,$R$4*MAX(O194-V194,0),0),0)/I194,2),0)</f>
        <v>1.03</v>
      </c>
      <c r="AI194" s="82">
        <f>IFERROR(ROUNDDOWN(INDEX('90% of ACR'!R:R,MATCH(H:H,'90% of ACR'!A:A,0))*IF(J194&gt;0,IF(P194&gt;0,$R$4*MAX(P194-W194,0),0),0)/J194,2),0)</f>
        <v>0.47</v>
      </c>
      <c r="AJ194" s="45">
        <f t="shared" si="57"/>
        <v>6630877.7089238903</v>
      </c>
      <c r="AK194" s="45">
        <f t="shared" si="57"/>
        <v>850638.5847357366</v>
      </c>
      <c r="AL194" s="47">
        <f t="shared" si="58"/>
        <v>1.57</v>
      </c>
      <c r="AM194" s="47">
        <f t="shared" si="58"/>
        <v>0.74</v>
      </c>
      <c r="AN194" s="83">
        <f>IFERROR(INDEX('Fee Calc'!P:P,MATCH(C194,'Fee Calc'!F:F,0)),0)</f>
        <v>11446563.50072406</v>
      </c>
      <c r="AO194" s="83">
        <f>IFERROR(INDEX('Fee Calc'!Q:Q,MATCH(C194,'Fee Calc'!F:F,0)),0)</f>
        <v>705791.6660865451</v>
      </c>
      <c r="AP194" s="83">
        <f t="shared" si="59"/>
        <v>12152355.166810606</v>
      </c>
      <c r="AQ194" s="70">
        <f t="shared" si="60"/>
        <v>5189444.5315934671</v>
      </c>
      <c r="AR194" s="70">
        <f t="shared" si="61"/>
        <v>2594722.2657967336</v>
      </c>
      <c r="AS194" s="70">
        <f t="shared" si="62"/>
        <v>2594722.2657967336</v>
      </c>
    </row>
    <row r="195" spans="1:45">
      <c r="A195" s="104" t="s">
        <v>237</v>
      </c>
      <c r="B195" s="124" t="s">
        <v>2680</v>
      </c>
      <c r="C195" s="31" t="s">
        <v>238</v>
      </c>
      <c r="D195" s="125" t="s">
        <v>238</v>
      </c>
      <c r="E195" s="119" t="s">
        <v>2681</v>
      </c>
      <c r="F195" s="100" t="s">
        <v>2279</v>
      </c>
      <c r="G195" s="100" t="s">
        <v>1526</v>
      </c>
      <c r="H195" s="43" t="str">
        <f t="shared" si="45"/>
        <v>Urban Lubbock</v>
      </c>
      <c r="I195" s="45">
        <f>INDEX('Fee Calc'!M:M,MATCH(C:C,'Fee Calc'!F:F,0))</f>
        <v>34924.998798052256</v>
      </c>
      <c r="J195" s="45">
        <f>INDEX('Fee Calc'!L:L,MATCH(C:C,'Fee Calc'!F:F,0))</f>
        <v>21925.070743349133</v>
      </c>
      <c r="K195" s="45">
        <f t="shared" si="46"/>
        <v>56850.06954140139</v>
      </c>
      <c r="L195" s="45">
        <v>38722.36</v>
      </c>
      <c r="M195" s="45">
        <v>111576.06</v>
      </c>
      <c r="N195" s="45">
        <f t="shared" si="47"/>
        <v>150298.41999999998</v>
      </c>
      <c r="O195" s="45">
        <v>63024.893887591912</v>
      </c>
      <c r="P195" s="45">
        <v>102721.42419352072</v>
      </c>
      <c r="Q195" s="45">
        <f t="shared" si="48"/>
        <v>165746.31808111264</v>
      </c>
      <c r="R195" s="45" t="str">
        <f t="shared" si="49"/>
        <v>Yes</v>
      </c>
      <c r="S195" s="46" t="str">
        <f t="shared" si="49"/>
        <v>Yes</v>
      </c>
      <c r="T195" s="47">
        <f>ROUND(INDEX(Summary!H:H,MATCH(H:H,Summary!A:A,0)),2)</f>
        <v>0</v>
      </c>
      <c r="U195" s="47">
        <f>ROUND(INDEX(Summary!I:I,MATCH(H:H,Summary!A:A,0)),2)</f>
        <v>0.61</v>
      </c>
      <c r="V195" s="81">
        <f t="shared" si="50"/>
        <v>0</v>
      </c>
      <c r="W195" s="81">
        <f t="shared" si="50"/>
        <v>13374.293153442972</v>
      </c>
      <c r="X195" s="45">
        <f t="shared" si="51"/>
        <v>13374.293153442972</v>
      </c>
      <c r="Y195" s="45" t="s">
        <v>2752</v>
      </c>
      <c r="Z195" s="45" t="str">
        <f t="shared" si="52"/>
        <v>Yes</v>
      </c>
      <c r="AA195" s="45" t="str">
        <f t="shared" si="52"/>
        <v>Yes</v>
      </c>
      <c r="AB195" s="45" t="str">
        <f t="shared" si="53"/>
        <v>Yes</v>
      </c>
      <c r="AC195" s="82">
        <f t="shared" si="54"/>
        <v>1.26</v>
      </c>
      <c r="AD195" s="82">
        <f t="shared" si="54"/>
        <v>2.84</v>
      </c>
      <c r="AE195" s="45">
        <f t="shared" si="55"/>
        <v>44005.498485545846</v>
      </c>
      <c r="AF195" s="45">
        <f t="shared" si="55"/>
        <v>62267.200911111533</v>
      </c>
      <c r="AG195" s="45">
        <f t="shared" si="56"/>
        <v>106272.69939665738</v>
      </c>
      <c r="AH195" s="47">
        <f>IFERROR(ROUNDDOWN(INDEX('90% of ACR'!K:K,MATCH(H:H,'90% of ACR'!A:A,0))*IF(I195&gt;0,IF(O195&gt;0,$R$4*MAX(O195-V195,0),0),0)/I195,2),0)</f>
        <v>0.46</v>
      </c>
      <c r="AI195" s="82">
        <f>IFERROR(ROUNDDOWN(INDEX('90% of ACR'!R:R,MATCH(H:H,'90% of ACR'!A:A,0))*IF(J195&gt;0,IF(P195&gt;0,$R$4*MAX(P195-W195,0),0),0)/J195,2),0)</f>
        <v>2.57</v>
      </c>
      <c r="AJ195" s="45">
        <f t="shared" si="57"/>
        <v>16065.499447104039</v>
      </c>
      <c r="AK195" s="45">
        <f t="shared" si="57"/>
        <v>56347.431810407266</v>
      </c>
      <c r="AL195" s="47">
        <f t="shared" si="58"/>
        <v>0.46</v>
      </c>
      <c r="AM195" s="47">
        <f t="shared" si="58"/>
        <v>3.1799999999999997</v>
      </c>
      <c r="AN195" s="83">
        <f>IFERROR(INDEX('Fee Calc'!P:P,MATCH(C195,'Fee Calc'!F:F,0)),0)</f>
        <v>85787.224410954281</v>
      </c>
      <c r="AO195" s="83">
        <f>IFERROR(INDEX('Fee Calc'!Q:Q,MATCH(C195,'Fee Calc'!F:F,0)),0)</f>
        <v>5358.618356578163</v>
      </c>
      <c r="AP195" s="83">
        <f t="shared" si="59"/>
        <v>91145.842767532449</v>
      </c>
      <c r="AQ195" s="70">
        <f t="shared" si="60"/>
        <v>38922.191528704912</v>
      </c>
      <c r="AR195" s="70">
        <f t="shared" si="61"/>
        <v>19461.095764352456</v>
      </c>
      <c r="AS195" s="70">
        <f t="shared" si="62"/>
        <v>19461.095764352456</v>
      </c>
    </row>
    <row r="196" spans="1:45">
      <c r="A196" s="104" t="s">
        <v>926</v>
      </c>
      <c r="B196" s="124" t="s">
        <v>926</v>
      </c>
      <c r="C196" s="31" t="s">
        <v>927</v>
      </c>
      <c r="D196" s="125" t="s">
        <v>927</v>
      </c>
      <c r="E196" s="119" t="s">
        <v>2862</v>
      </c>
      <c r="F196" s="100" t="s">
        <v>2291</v>
      </c>
      <c r="G196" s="100" t="s">
        <v>227</v>
      </c>
      <c r="H196" s="43" t="str">
        <f t="shared" si="45"/>
        <v>Rural MRSA West</v>
      </c>
      <c r="I196" s="45">
        <f>INDEX('Fee Calc'!M:M,MATCH(C:C,'Fee Calc'!F:F,0))</f>
        <v>8413.5539356336321</v>
      </c>
      <c r="J196" s="45">
        <f>INDEX('Fee Calc'!L:L,MATCH(C:C,'Fee Calc'!F:F,0))</f>
        <v>72124.347101660547</v>
      </c>
      <c r="K196" s="45">
        <f t="shared" si="46"/>
        <v>80537.901037294185</v>
      </c>
      <c r="L196" s="45">
        <v>16263.6</v>
      </c>
      <c r="M196" s="45">
        <v>4554.5600000000004</v>
      </c>
      <c r="N196" s="45">
        <f t="shared" si="47"/>
        <v>20818.16</v>
      </c>
      <c r="O196" s="45">
        <v>-4151.8835150594778</v>
      </c>
      <c r="P196" s="45">
        <v>-3971.1775533014807</v>
      </c>
      <c r="Q196" s="45">
        <f t="shared" si="48"/>
        <v>-8123.0610683609584</v>
      </c>
      <c r="R196" s="45" t="str">
        <f t="shared" si="49"/>
        <v>No</v>
      </c>
      <c r="S196" s="46" t="str">
        <f t="shared" si="49"/>
        <v>No</v>
      </c>
      <c r="T196" s="47">
        <f>ROUND(INDEX(Summary!H:H,MATCH(H:H,Summary!A:A,0)),2)</f>
        <v>0</v>
      </c>
      <c r="U196" s="47">
        <f>ROUND(INDEX(Summary!I:I,MATCH(H:H,Summary!A:A,0)),2)</f>
        <v>0.2</v>
      </c>
      <c r="V196" s="81">
        <f t="shared" si="50"/>
        <v>0</v>
      </c>
      <c r="W196" s="81">
        <f t="shared" si="50"/>
        <v>14424.86942033211</v>
      </c>
      <c r="X196" s="45">
        <f t="shared" si="51"/>
        <v>14424.86942033211</v>
      </c>
      <c r="Y196" s="45" t="s">
        <v>2752</v>
      </c>
      <c r="Z196" s="45" t="str">
        <f t="shared" si="52"/>
        <v>No</v>
      </c>
      <c r="AA196" s="45" t="str">
        <f t="shared" si="52"/>
        <v>No</v>
      </c>
      <c r="AB196" s="45" t="str">
        <f t="shared" si="53"/>
        <v>No</v>
      </c>
      <c r="AC196" s="82">
        <f t="shared" si="54"/>
        <v>0</v>
      </c>
      <c r="AD196" s="82">
        <f t="shared" si="54"/>
        <v>0</v>
      </c>
      <c r="AE196" s="45">
        <f t="shared" si="55"/>
        <v>0</v>
      </c>
      <c r="AF196" s="45">
        <f t="shared" si="55"/>
        <v>0</v>
      </c>
      <c r="AG196" s="45">
        <f t="shared" si="56"/>
        <v>0</v>
      </c>
      <c r="AH196" s="47">
        <f>IFERROR(ROUNDDOWN(INDEX('90% of ACR'!K:K,MATCH(H:H,'90% of ACR'!A:A,0))*IF(I196&gt;0,IF(O196&gt;0,$R$4*MAX(O196-V196,0),0),0)/I196,2),0)</f>
        <v>0</v>
      </c>
      <c r="AI196" s="82">
        <f>IFERROR(ROUNDDOWN(INDEX('90% of ACR'!R:R,MATCH(H:H,'90% of ACR'!A:A,0))*IF(J196&gt;0,IF(P196&gt;0,$R$4*MAX(P196-W196,0),0),0)/J196,2),0)</f>
        <v>0</v>
      </c>
      <c r="AJ196" s="45">
        <f t="shared" si="57"/>
        <v>0</v>
      </c>
      <c r="AK196" s="45">
        <f t="shared" si="57"/>
        <v>0</v>
      </c>
      <c r="AL196" s="47">
        <f t="shared" si="58"/>
        <v>0</v>
      </c>
      <c r="AM196" s="47">
        <f t="shared" si="58"/>
        <v>0.2</v>
      </c>
      <c r="AN196" s="83">
        <f>IFERROR(INDEX('Fee Calc'!P:P,MATCH(C196,'Fee Calc'!F:F,0)),0)</f>
        <v>14424.86942033211</v>
      </c>
      <c r="AO196" s="83">
        <f>IFERROR(INDEX('Fee Calc'!Q:Q,MATCH(C196,'Fee Calc'!F:F,0)),0)</f>
        <v>884.3394218633747</v>
      </c>
      <c r="AP196" s="83">
        <f t="shared" si="59"/>
        <v>15309.208842195485</v>
      </c>
      <c r="AQ196" s="70">
        <f t="shared" si="60"/>
        <v>6537.5220703004225</v>
      </c>
      <c r="AR196" s="70">
        <f t="shared" si="61"/>
        <v>3268.7610351502112</v>
      </c>
      <c r="AS196" s="70">
        <f t="shared" si="62"/>
        <v>3268.7610351502112</v>
      </c>
    </row>
    <row r="197" spans="1:45">
      <c r="A197" s="104" t="s">
        <v>1025</v>
      </c>
      <c r="B197" s="124" t="s">
        <v>1025</v>
      </c>
      <c r="C197" s="31" t="s">
        <v>1026</v>
      </c>
      <c r="D197" s="125" t="s">
        <v>1026</v>
      </c>
      <c r="E197" s="119" t="s">
        <v>2448</v>
      </c>
      <c r="F197" s="100" t="s">
        <v>2291</v>
      </c>
      <c r="G197" s="100" t="s">
        <v>1202</v>
      </c>
      <c r="H197" s="43" t="str">
        <f t="shared" ref="H197:H260" si="63">CONCATENATE(F197," ",G197)</f>
        <v>Rural Travis</v>
      </c>
      <c r="I197" s="45">
        <f>INDEX('Fee Calc'!M:M,MATCH(C:C,'Fee Calc'!F:F,0))</f>
        <v>1045186.0349753102</v>
      </c>
      <c r="J197" s="45">
        <f>INDEX('Fee Calc'!L:L,MATCH(C:C,'Fee Calc'!F:F,0))</f>
        <v>1096.8650189943485</v>
      </c>
      <c r="K197" s="45">
        <f t="shared" ref="K197:K260" si="64">I197+J197</f>
        <v>1046282.8999943045</v>
      </c>
      <c r="L197" s="45">
        <v>98169.61</v>
      </c>
      <c r="M197" s="45">
        <v>-3.91</v>
      </c>
      <c r="N197" s="45">
        <f t="shared" ref="N197:N260" si="65">+L197+M197</f>
        <v>98165.7</v>
      </c>
      <c r="O197" s="45">
        <v>376589.07671579078</v>
      </c>
      <c r="P197" s="45">
        <v>9.0014064352838243</v>
      </c>
      <c r="Q197" s="45">
        <f t="shared" ref="Q197:Q260" si="66">O197+P197</f>
        <v>376598.07812222606</v>
      </c>
      <c r="R197" s="45" t="str">
        <f t="shared" ref="R197:S260" si="67">IF(O197&gt;0,"Yes","No")</f>
        <v>Yes</v>
      </c>
      <c r="S197" s="46" t="str">
        <f t="shared" si="67"/>
        <v>Yes</v>
      </c>
      <c r="T197" s="47">
        <f>ROUND(INDEX(Summary!H:H,MATCH(H:H,Summary!A:A,0)),2)</f>
        <v>0.04</v>
      </c>
      <c r="U197" s="47">
        <f>ROUND(INDEX(Summary!I:I,MATCH(H:H,Summary!A:A,0)),2)</f>
        <v>0.2</v>
      </c>
      <c r="V197" s="81">
        <f t="shared" ref="V197:W260" si="68">+T197*I197</f>
        <v>41807.441399012409</v>
      </c>
      <c r="W197" s="81">
        <f t="shared" si="68"/>
        <v>219.37300379886972</v>
      </c>
      <c r="X197" s="45">
        <f t="shared" ref="X197:X260" si="69">+V197+W197</f>
        <v>42026.81440281128</v>
      </c>
      <c r="Y197" s="45" t="s">
        <v>2752</v>
      </c>
      <c r="Z197" s="45" t="str">
        <f t="shared" ref="Z197:AA260" si="70">IF(AJ197&gt;0,"Yes","No")</f>
        <v>Yes</v>
      </c>
      <c r="AA197" s="45" t="str">
        <f t="shared" si="70"/>
        <v>No</v>
      </c>
      <c r="AB197" s="45" t="str">
        <f t="shared" ref="AB197:AB260" si="71">IF(AG197&gt;0,"Yes","No")</f>
        <v>Yes</v>
      </c>
      <c r="AC197" s="82">
        <f t="shared" ref="AC197:AD260" si="72">IFERROR(ROUND(IF(I197&gt;0,IF(O197&gt;0,$R$4*MAX(O197-V197,0),0),0)/I197,2),0)</f>
        <v>0.22</v>
      </c>
      <c r="AD197" s="82">
        <f t="shared" si="72"/>
        <v>0</v>
      </c>
      <c r="AE197" s="45">
        <f t="shared" ref="AE197:AF260" si="73">AC197*I197</f>
        <v>229940.92769456824</v>
      </c>
      <c r="AF197" s="45">
        <f t="shared" si="73"/>
        <v>0</v>
      </c>
      <c r="AG197" s="45">
        <f t="shared" ref="AG197:AG260" si="74">AE197+AF197</f>
        <v>229940.92769456824</v>
      </c>
      <c r="AH197" s="47">
        <f>IFERROR(ROUNDDOWN(INDEX('90% of ACR'!K:K,MATCH(H:H,'90% of ACR'!A:A,0))*IF(I197&gt;0,IF(O197&gt;0,$R$4*MAX(O197-V197,0),0),0)/I197,2),0)</f>
        <v>0.22</v>
      </c>
      <c r="AI197" s="82">
        <f>IFERROR(ROUNDDOWN(INDEX('90% of ACR'!R:R,MATCH(H:H,'90% of ACR'!A:A,0))*IF(J197&gt;0,IF(P197&gt;0,$R$4*MAX(P197-W197,0),0),0)/J197,2),0)</f>
        <v>0</v>
      </c>
      <c r="AJ197" s="45">
        <f t="shared" ref="AJ197:AK260" si="75">I197*AH197</f>
        <v>229940.92769456824</v>
      </c>
      <c r="AK197" s="45">
        <f t="shared" si="75"/>
        <v>0</v>
      </c>
      <c r="AL197" s="47">
        <f t="shared" ref="AL197:AM260" si="76">T197+AH197</f>
        <v>0.26</v>
      </c>
      <c r="AM197" s="47">
        <f t="shared" si="76"/>
        <v>0.2</v>
      </c>
      <c r="AN197" s="83">
        <f>IFERROR(INDEX('Fee Calc'!P:P,MATCH(C197,'Fee Calc'!F:F,0)),0)</f>
        <v>271967.74209737952</v>
      </c>
      <c r="AO197" s="83">
        <f>IFERROR(INDEX('Fee Calc'!Q:Q,MATCH(C197,'Fee Calc'!F:F,0)),0)</f>
        <v>16937.227421571744</v>
      </c>
      <c r="AP197" s="83">
        <f t="shared" ref="AP197:AP260" si="77">AN197+AO197</f>
        <v>288904.96951895126</v>
      </c>
      <c r="AQ197" s="70">
        <f t="shared" ref="AQ197:AQ260" si="78">$AQ$3*AP197*1.08</f>
        <v>123371.6669436168</v>
      </c>
      <c r="AR197" s="70">
        <f t="shared" ref="AR197:AR260" si="79">AQ197*0.5</f>
        <v>61685.833471808401</v>
      </c>
      <c r="AS197" s="70">
        <f t="shared" ref="AS197:AS260" si="80">AR197</f>
        <v>61685.833471808401</v>
      </c>
    </row>
    <row r="198" spans="1:45">
      <c r="A198" s="104" t="s">
        <v>1019</v>
      </c>
      <c r="B198" s="124" t="s">
        <v>1019</v>
      </c>
      <c r="C198" s="31" t="s">
        <v>1020</v>
      </c>
      <c r="D198" s="125" t="s">
        <v>1020</v>
      </c>
      <c r="E198" s="119" t="s">
        <v>2676</v>
      </c>
      <c r="F198" s="100" t="s">
        <v>2291</v>
      </c>
      <c r="G198" s="100" t="s">
        <v>1202</v>
      </c>
      <c r="H198" s="43" t="str">
        <f t="shared" si="63"/>
        <v>Rural Travis</v>
      </c>
      <c r="I198" s="45">
        <f>INDEX('Fee Calc'!M:M,MATCH(C:C,'Fee Calc'!F:F,0))</f>
        <v>1151943.9867562449</v>
      </c>
      <c r="J198" s="45">
        <f>INDEX('Fee Calc'!L:L,MATCH(C:C,'Fee Calc'!F:F,0))</f>
        <v>3026.736539238058</v>
      </c>
      <c r="K198" s="45">
        <f t="shared" si="64"/>
        <v>1154970.723295483</v>
      </c>
      <c r="L198" s="45">
        <v>209547.51</v>
      </c>
      <c r="M198" s="45">
        <v>-204.35</v>
      </c>
      <c r="N198" s="45">
        <f t="shared" si="65"/>
        <v>209343.16</v>
      </c>
      <c r="O198" s="45">
        <v>663215.02856211062</v>
      </c>
      <c r="P198" s="45">
        <v>8967.6383034223909</v>
      </c>
      <c r="Q198" s="45">
        <f t="shared" si="66"/>
        <v>672182.66686553298</v>
      </c>
      <c r="R198" s="45" t="str">
        <f t="shared" si="67"/>
        <v>Yes</v>
      </c>
      <c r="S198" s="46" t="str">
        <f t="shared" si="67"/>
        <v>Yes</v>
      </c>
      <c r="T198" s="47">
        <f>ROUND(INDEX(Summary!H:H,MATCH(H:H,Summary!A:A,0)),2)</f>
        <v>0.04</v>
      </c>
      <c r="U198" s="47">
        <f>ROUND(INDEX(Summary!I:I,MATCH(H:H,Summary!A:A,0)),2)</f>
        <v>0.2</v>
      </c>
      <c r="V198" s="81">
        <f t="shared" si="68"/>
        <v>46077.759470249795</v>
      </c>
      <c r="W198" s="81">
        <f t="shared" si="68"/>
        <v>605.34730784761166</v>
      </c>
      <c r="X198" s="45">
        <f t="shared" si="69"/>
        <v>46683.106778097404</v>
      </c>
      <c r="Y198" s="45" t="s">
        <v>2752</v>
      </c>
      <c r="Z198" s="45" t="str">
        <f t="shared" si="70"/>
        <v>Yes</v>
      </c>
      <c r="AA198" s="45" t="str">
        <f t="shared" si="70"/>
        <v>Yes</v>
      </c>
      <c r="AB198" s="45" t="str">
        <f t="shared" si="71"/>
        <v>Yes</v>
      </c>
      <c r="AC198" s="82">
        <f t="shared" si="72"/>
        <v>0.37</v>
      </c>
      <c r="AD198" s="82">
        <f t="shared" si="72"/>
        <v>1.92</v>
      </c>
      <c r="AE198" s="45">
        <f t="shared" si="73"/>
        <v>426219.27509981062</v>
      </c>
      <c r="AF198" s="45">
        <f t="shared" si="73"/>
        <v>5811.334155337071</v>
      </c>
      <c r="AG198" s="45">
        <f t="shared" si="74"/>
        <v>432030.60925514769</v>
      </c>
      <c r="AH198" s="47">
        <f>IFERROR(ROUNDDOWN(INDEX('90% of ACR'!K:K,MATCH(H:H,'90% of ACR'!A:A,0))*IF(I198&gt;0,IF(O198&gt;0,$R$4*MAX(O198-V198,0),0),0)/I198,2),0)</f>
        <v>0.37</v>
      </c>
      <c r="AI198" s="82">
        <f>IFERROR(ROUNDDOWN(INDEX('90% of ACR'!R:R,MATCH(H:H,'90% of ACR'!A:A,0))*IF(J198&gt;0,IF(P198&gt;0,$R$4*MAX(P198-W198,0),0),0)/J198,2),0)</f>
        <v>1.54</v>
      </c>
      <c r="AJ198" s="45">
        <f t="shared" si="75"/>
        <v>426219.27509981062</v>
      </c>
      <c r="AK198" s="45">
        <f t="shared" si="75"/>
        <v>4661.1742704266089</v>
      </c>
      <c r="AL198" s="47">
        <f t="shared" si="76"/>
        <v>0.41</v>
      </c>
      <c r="AM198" s="47">
        <f t="shared" si="76"/>
        <v>1.74</v>
      </c>
      <c r="AN198" s="83">
        <f>IFERROR(INDEX('Fee Calc'!P:P,MATCH(C198,'Fee Calc'!F:F,0)),0)</f>
        <v>477563.55614833458</v>
      </c>
      <c r="AO198" s="83">
        <f>IFERROR(INDEX('Fee Calc'!Q:Q,MATCH(C198,'Fee Calc'!F:F,0)),0)</f>
        <v>29445.822134389116</v>
      </c>
      <c r="AP198" s="83">
        <f t="shared" si="77"/>
        <v>507009.37828272372</v>
      </c>
      <c r="AQ198" s="70">
        <f t="shared" si="78"/>
        <v>216509.22882682807</v>
      </c>
      <c r="AR198" s="70">
        <f t="shared" si="79"/>
        <v>108254.61441341403</v>
      </c>
      <c r="AS198" s="70">
        <f t="shared" si="80"/>
        <v>108254.61441341403</v>
      </c>
    </row>
    <row r="199" spans="1:45" ht="25.5">
      <c r="A199" s="104" t="s">
        <v>1309</v>
      </c>
      <c r="B199" s="124" t="s">
        <v>1309</v>
      </c>
      <c r="C199" s="31" t="s">
        <v>1310</v>
      </c>
      <c r="D199" s="125" t="s">
        <v>1310</v>
      </c>
      <c r="E199" s="119" t="s">
        <v>2449</v>
      </c>
      <c r="F199" s="100" t="s">
        <v>2529</v>
      </c>
      <c r="G199" s="100" t="s">
        <v>1202</v>
      </c>
      <c r="H199" s="43" t="str">
        <f t="shared" si="63"/>
        <v>Non-state-owned IMD Travis</v>
      </c>
      <c r="I199" s="45">
        <f>INDEX('Fee Calc'!M:M,MATCH(C:C,'Fee Calc'!F:F,0))</f>
        <v>74958.308248659916</v>
      </c>
      <c r="J199" s="45">
        <f>INDEX('Fee Calc'!L:L,MATCH(C:C,'Fee Calc'!F:F,0))</f>
        <v>0</v>
      </c>
      <c r="K199" s="45">
        <f t="shared" si="64"/>
        <v>74958.308248659916</v>
      </c>
      <c r="L199" s="45">
        <v>47401.2</v>
      </c>
      <c r="M199" s="45">
        <v>0</v>
      </c>
      <c r="N199" s="45">
        <f t="shared" si="65"/>
        <v>47401.2</v>
      </c>
      <c r="O199" s="45">
        <v>6977.4097971016308</v>
      </c>
      <c r="P199" s="45">
        <v>0</v>
      </c>
      <c r="Q199" s="45">
        <f t="shared" si="66"/>
        <v>6977.4097971016308</v>
      </c>
      <c r="R199" s="45" t="str">
        <f t="shared" si="67"/>
        <v>Yes</v>
      </c>
      <c r="S199" s="46" t="str">
        <f t="shared" si="67"/>
        <v>No</v>
      </c>
      <c r="T199" s="47">
        <f>ROUND(INDEX(Summary!H:H,MATCH(H:H,Summary!A:A,0)),2)</f>
        <v>0.28000000000000003</v>
      </c>
      <c r="U199" s="47">
        <f>ROUND(INDEX(Summary!I:I,MATCH(H:H,Summary!A:A,0)),2)</f>
        <v>0</v>
      </c>
      <c r="V199" s="81">
        <f t="shared" si="68"/>
        <v>20988.326309624779</v>
      </c>
      <c r="W199" s="81">
        <f t="shared" si="68"/>
        <v>0</v>
      </c>
      <c r="X199" s="45">
        <f t="shared" si="69"/>
        <v>20988.326309624779</v>
      </c>
      <c r="Y199" s="45" t="s">
        <v>2752</v>
      </c>
      <c r="Z199" s="45" t="str">
        <f t="shared" si="70"/>
        <v>No</v>
      </c>
      <c r="AA199" s="45" t="str">
        <f t="shared" si="70"/>
        <v>No</v>
      </c>
      <c r="AB199" s="45" t="str">
        <f t="shared" si="71"/>
        <v>No</v>
      </c>
      <c r="AC199" s="82">
        <f t="shared" si="72"/>
        <v>0</v>
      </c>
      <c r="AD199" s="82">
        <f t="shared" si="72"/>
        <v>0</v>
      </c>
      <c r="AE199" s="45">
        <f t="shared" si="73"/>
        <v>0</v>
      </c>
      <c r="AF199" s="45">
        <f t="shared" si="73"/>
        <v>0</v>
      </c>
      <c r="AG199" s="45">
        <f t="shared" si="74"/>
        <v>0</v>
      </c>
      <c r="AH199" s="47">
        <f>IFERROR(ROUNDDOWN(INDEX('90% of ACR'!K:K,MATCH(H:H,'90% of ACR'!A:A,0))*IF(I199&gt;0,IF(O199&gt;0,$R$4*MAX(O199-V199,0),0),0)/I199,2),0)</f>
        <v>0</v>
      </c>
      <c r="AI199" s="82">
        <f>IFERROR(ROUNDDOWN(INDEX('90% of ACR'!R:R,MATCH(H:H,'90% of ACR'!A:A,0))*IF(J199&gt;0,IF(P199&gt;0,$R$4*MAX(P199-W199,0),0),0)/J199,2),0)</f>
        <v>0</v>
      </c>
      <c r="AJ199" s="45">
        <f t="shared" si="75"/>
        <v>0</v>
      </c>
      <c r="AK199" s="45">
        <f t="shared" si="75"/>
        <v>0</v>
      </c>
      <c r="AL199" s="47">
        <f t="shared" si="76"/>
        <v>0.28000000000000003</v>
      </c>
      <c r="AM199" s="47">
        <f t="shared" si="76"/>
        <v>0</v>
      </c>
      <c r="AN199" s="83">
        <f>IFERROR(INDEX('Fee Calc'!P:P,MATCH(C199,'Fee Calc'!F:F,0)),0)</f>
        <v>20988.326309624779</v>
      </c>
      <c r="AO199" s="83">
        <f>IFERROR(INDEX('Fee Calc'!Q:Q,MATCH(C199,'Fee Calc'!F:F,0)),0)</f>
        <v>1280.4549207463394</v>
      </c>
      <c r="AP199" s="83">
        <f t="shared" si="77"/>
        <v>22268.781230371118</v>
      </c>
      <c r="AQ199" s="70">
        <f t="shared" si="78"/>
        <v>9509.4821863678408</v>
      </c>
      <c r="AR199" s="70">
        <f t="shared" si="79"/>
        <v>4754.7410931839204</v>
      </c>
      <c r="AS199" s="70">
        <f t="shared" si="80"/>
        <v>4754.7410931839204</v>
      </c>
    </row>
    <row r="200" spans="1:45">
      <c r="A200" s="104" t="s">
        <v>1422</v>
      </c>
      <c r="B200" s="124" t="s">
        <v>1422</v>
      </c>
      <c r="C200" s="31" t="s">
        <v>1423</v>
      </c>
      <c r="D200" s="125" t="s">
        <v>1423</v>
      </c>
      <c r="E200" s="119" t="s">
        <v>2631</v>
      </c>
      <c r="F200" s="100" t="s">
        <v>2279</v>
      </c>
      <c r="G200" s="100" t="s">
        <v>1365</v>
      </c>
      <c r="H200" s="43" t="str">
        <f t="shared" si="63"/>
        <v>Urban Tarrant</v>
      </c>
      <c r="I200" s="45">
        <f>INDEX('Fee Calc'!M:M,MATCH(C:C,'Fee Calc'!F:F,0))</f>
        <v>0</v>
      </c>
      <c r="J200" s="45">
        <f>INDEX('Fee Calc'!L:L,MATCH(C:C,'Fee Calc'!F:F,0))</f>
        <v>0</v>
      </c>
      <c r="K200" s="45">
        <f t="shared" si="64"/>
        <v>0</v>
      </c>
      <c r="L200" s="45">
        <v>131218.54999999999</v>
      </c>
      <c r="M200" s="45">
        <v>0</v>
      </c>
      <c r="N200" s="45">
        <f t="shared" si="65"/>
        <v>131218.54999999999</v>
      </c>
      <c r="O200" s="45">
        <v>58391.013980861069</v>
      </c>
      <c r="P200" s="45">
        <v>0</v>
      </c>
      <c r="Q200" s="45">
        <f t="shared" si="66"/>
        <v>58391.013980861069</v>
      </c>
      <c r="R200" s="45" t="str">
        <f t="shared" si="67"/>
        <v>Yes</v>
      </c>
      <c r="S200" s="46" t="str">
        <f t="shared" si="67"/>
        <v>No</v>
      </c>
      <c r="T200" s="47">
        <f>ROUND(INDEX(Summary!H:H,MATCH(H:H,Summary!A:A,0)),2)</f>
        <v>0.74</v>
      </c>
      <c r="U200" s="47">
        <f>ROUND(INDEX(Summary!I:I,MATCH(H:H,Summary!A:A,0)),2)</f>
        <v>0.49</v>
      </c>
      <c r="V200" s="81">
        <f t="shared" si="68"/>
        <v>0</v>
      </c>
      <c r="W200" s="81">
        <f t="shared" si="68"/>
        <v>0</v>
      </c>
      <c r="X200" s="45">
        <f t="shared" si="69"/>
        <v>0</v>
      </c>
      <c r="Y200" s="45" t="s">
        <v>2752</v>
      </c>
      <c r="Z200" s="45" t="str">
        <f t="shared" si="70"/>
        <v>No</v>
      </c>
      <c r="AA200" s="45" t="str">
        <f t="shared" si="70"/>
        <v>No</v>
      </c>
      <c r="AB200" s="45" t="str">
        <f t="shared" si="71"/>
        <v>No</v>
      </c>
      <c r="AC200" s="82">
        <f t="shared" si="72"/>
        <v>0</v>
      </c>
      <c r="AD200" s="82">
        <f t="shared" si="72"/>
        <v>0</v>
      </c>
      <c r="AE200" s="45">
        <f t="shared" si="73"/>
        <v>0</v>
      </c>
      <c r="AF200" s="45">
        <f t="shared" si="73"/>
        <v>0</v>
      </c>
      <c r="AG200" s="45">
        <f t="shared" si="74"/>
        <v>0</v>
      </c>
      <c r="AH200" s="47">
        <f>IFERROR(ROUNDDOWN(INDEX('90% of ACR'!K:K,MATCH(H:H,'90% of ACR'!A:A,0))*IF(I200&gt;0,IF(O200&gt;0,$R$4*MAX(O200-V200,0),0),0)/I200,2),0)</f>
        <v>0</v>
      </c>
      <c r="AI200" s="82">
        <f>IFERROR(ROUNDDOWN(INDEX('90% of ACR'!R:R,MATCH(H:H,'90% of ACR'!A:A,0))*IF(J200&gt;0,IF(P200&gt;0,$R$4*MAX(P200-W200,0),0),0)/J200,2),0)</f>
        <v>0</v>
      </c>
      <c r="AJ200" s="45">
        <f t="shared" si="75"/>
        <v>0</v>
      </c>
      <c r="AK200" s="45">
        <f t="shared" si="75"/>
        <v>0</v>
      </c>
      <c r="AL200" s="47">
        <f t="shared" si="76"/>
        <v>0.74</v>
      </c>
      <c r="AM200" s="47">
        <f t="shared" si="76"/>
        <v>0.49</v>
      </c>
      <c r="AN200" s="83">
        <f>IFERROR(INDEX('Fee Calc'!P:P,MATCH(C200,'Fee Calc'!F:F,0)),0)</f>
        <v>0</v>
      </c>
      <c r="AO200" s="83">
        <f>IFERROR(INDEX('Fee Calc'!Q:Q,MATCH(C200,'Fee Calc'!F:F,0)),0)</f>
        <v>0</v>
      </c>
      <c r="AP200" s="83">
        <f t="shared" si="77"/>
        <v>0</v>
      </c>
      <c r="AQ200" s="70">
        <f t="shared" si="78"/>
        <v>0</v>
      </c>
      <c r="AR200" s="70">
        <f t="shared" si="79"/>
        <v>0</v>
      </c>
      <c r="AS200" s="70">
        <f t="shared" si="80"/>
        <v>0</v>
      </c>
    </row>
    <row r="201" spans="1:45">
      <c r="A201" s="104" t="s">
        <v>983</v>
      </c>
      <c r="B201" s="124" t="s">
        <v>983</v>
      </c>
      <c r="C201" s="31" t="s">
        <v>984</v>
      </c>
      <c r="D201" s="125" t="s">
        <v>984</v>
      </c>
      <c r="E201" s="119" t="s">
        <v>2445</v>
      </c>
      <c r="F201" s="100" t="s">
        <v>2279</v>
      </c>
      <c r="G201" s="100" t="s">
        <v>1486</v>
      </c>
      <c r="H201" s="43" t="str">
        <f t="shared" si="63"/>
        <v>Urban MRSA Central</v>
      </c>
      <c r="I201" s="45">
        <f>INDEX('Fee Calc'!M:M,MATCH(C:C,'Fee Calc'!F:F,0))</f>
        <v>8917900.9952606317</v>
      </c>
      <c r="J201" s="45">
        <f>INDEX('Fee Calc'!L:L,MATCH(C:C,'Fee Calc'!F:F,0))</f>
        <v>4442824.5547398347</v>
      </c>
      <c r="K201" s="45">
        <f t="shared" si="64"/>
        <v>13360725.550000466</v>
      </c>
      <c r="L201" s="45">
        <v>6648941.0099999998</v>
      </c>
      <c r="M201" s="45">
        <v>5356205.87</v>
      </c>
      <c r="N201" s="45">
        <f t="shared" si="65"/>
        <v>12005146.879999999</v>
      </c>
      <c r="O201" s="45">
        <v>10150511.35203943</v>
      </c>
      <c r="P201" s="45">
        <v>4559186.4820990814</v>
      </c>
      <c r="Q201" s="45">
        <f t="shared" si="66"/>
        <v>14709697.834138513</v>
      </c>
      <c r="R201" s="45" t="str">
        <f t="shared" si="67"/>
        <v>Yes</v>
      </c>
      <c r="S201" s="46" t="str">
        <f t="shared" si="67"/>
        <v>Yes</v>
      </c>
      <c r="T201" s="47">
        <f>ROUND(INDEX(Summary!H:H,MATCH(H:H,Summary!A:A,0)),2)</f>
        <v>0.43</v>
      </c>
      <c r="U201" s="47">
        <f>ROUND(INDEX(Summary!I:I,MATCH(H:H,Summary!A:A,0)),2)</f>
        <v>0.92</v>
      </c>
      <c r="V201" s="81">
        <f t="shared" si="68"/>
        <v>3834697.4279620717</v>
      </c>
      <c r="W201" s="81">
        <f t="shared" si="68"/>
        <v>4087398.590360648</v>
      </c>
      <c r="X201" s="45">
        <f t="shared" si="69"/>
        <v>7922096.0183227193</v>
      </c>
      <c r="Y201" s="45" t="s">
        <v>2752</v>
      </c>
      <c r="Z201" s="45" t="str">
        <f t="shared" si="70"/>
        <v>Yes</v>
      </c>
      <c r="AA201" s="45" t="str">
        <f t="shared" si="70"/>
        <v>No</v>
      </c>
      <c r="AB201" s="45" t="str">
        <f t="shared" si="71"/>
        <v>Yes</v>
      </c>
      <c r="AC201" s="82">
        <f t="shared" si="72"/>
        <v>0.49</v>
      </c>
      <c r="AD201" s="82">
        <f t="shared" si="72"/>
        <v>7.0000000000000007E-2</v>
      </c>
      <c r="AE201" s="45">
        <f t="shared" si="73"/>
        <v>4369771.4876777092</v>
      </c>
      <c r="AF201" s="45">
        <f t="shared" si="73"/>
        <v>310997.71883178846</v>
      </c>
      <c r="AG201" s="45">
        <f t="shared" si="74"/>
        <v>4680769.2065094979</v>
      </c>
      <c r="AH201" s="47">
        <f>IFERROR(ROUNDDOWN(INDEX('90% of ACR'!K:K,MATCH(H:H,'90% of ACR'!A:A,0))*IF(I201&gt;0,IF(O201&gt;0,$R$4*MAX(O201-V201,0),0),0)/I201,2),0)</f>
        <v>0.49</v>
      </c>
      <c r="AI201" s="82">
        <f>IFERROR(ROUNDDOWN(INDEX('90% of ACR'!R:R,MATCH(H:H,'90% of ACR'!A:A,0))*IF(J201&gt;0,IF(P201&gt;0,$R$4*MAX(P201-W201,0),0),0)/J201,2),0)</f>
        <v>0</v>
      </c>
      <c r="AJ201" s="45">
        <f t="shared" si="75"/>
        <v>4369771.4876777092</v>
      </c>
      <c r="AK201" s="45">
        <f t="shared" si="75"/>
        <v>0</v>
      </c>
      <c r="AL201" s="47">
        <f t="shared" si="76"/>
        <v>0.91999999999999993</v>
      </c>
      <c r="AM201" s="47">
        <f t="shared" si="76"/>
        <v>0.92</v>
      </c>
      <c r="AN201" s="83">
        <f>IFERROR(INDEX('Fee Calc'!P:P,MATCH(C201,'Fee Calc'!F:F,0)),0)</f>
        <v>12291867.506000429</v>
      </c>
      <c r="AO201" s="83">
        <f>IFERROR(INDEX('Fee Calc'!Q:Q,MATCH(C201,'Fee Calc'!F:F,0)),0)</f>
        <v>764081.47589815548</v>
      </c>
      <c r="AP201" s="83">
        <f t="shared" si="77"/>
        <v>13055948.981898585</v>
      </c>
      <c r="AQ201" s="70">
        <f t="shared" si="78"/>
        <v>5575308.005638117</v>
      </c>
      <c r="AR201" s="70">
        <f t="shared" si="79"/>
        <v>2787654.0028190585</v>
      </c>
      <c r="AS201" s="70">
        <f t="shared" si="80"/>
        <v>2787654.0028190585</v>
      </c>
    </row>
    <row r="202" spans="1:45">
      <c r="A202" s="104" t="s">
        <v>1028</v>
      </c>
      <c r="B202" s="124" t="s">
        <v>1028</v>
      </c>
      <c r="C202" s="31" t="s">
        <v>1029</v>
      </c>
      <c r="D202" s="125" t="s">
        <v>1029</v>
      </c>
      <c r="E202" s="119" t="s">
        <v>2446</v>
      </c>
      <c r="F202" s="100" t="s">
        <v>2279</v>
      </c>
      <c r="G202" s="100" t="s">
        <v>1202</v>
      </c>
      <c r="H202" s="43" t="str">
        <f t="shared" si="63"/>
        <v>Urban Travis</v>
      </c>
      <c r="I202" s="45">
        <f>INDEX('Fee Calc'!M:M,MATCH(C:C,'Fee Calc'!F:F,0))</f>
        <v>18270405.225860581</v>
      </c>
      <c r="J202" s="45">
        <f>INDEX('Fee Calc'!L:L,MATCH(C:C,'Fee Calc'!F:F,0))</f>
        <v>3558025.2679375536</v>
      </c>
      <c r="K202" s="45">
        <f t="shared" si="64"/>
        <v>21828430.493798133</v>
      </c>
      <c r="L202" s="45">
        <v>1568803.8</v>
      </c>
      <c r="M202" s="45">
        <v>3050572.27</v>
      </c>
      <c r="N202" s="45">
        <f t="shared" si="65"/>
        <v>4619376.07</v>
      </c>
      <c r="O202" s="45">
        <v>32761669.545610078</v>
      </c>
      <c r="P202" s="45">
        <v>3204622.6742319581</v>
      </c>
      <c r="Q202" s="45">
        <f t="shared" si="66"/>
        <v>35966292.219842039</v>
      </c>
      <c r="R202" s="45" t="str">
        <f t="shared" si="67"/>
        <v>Yes</v>
      </c>
      <c r="S202" s="46" t="str">
        <f t="shared" si="67"/>
        <v>Yes</v>
      </c>
      <c r="T202" s="47">
        <f>ROUND(INDEX(Summary!H:H,MATCH(H:H,Summary!A:A,0)),2)</f>
        <v>0.35</v>
      </c>
      <c r="U202" s="47">
        <f>ROUND(INDEX(Summary!I:I,MATCH(H:H,Summary!A:A,0)),2)</f>
        <v>0.92</v>
      </c>
      <c r="V202" s="81">
        <f t="shared" si="68"/>
        <v>6394641.8290512031</v>
      </c>
      <c r="W202" s="81">
        <f t="shared" si="68"/>
        <v>3273383.2465025494</v>
      </c>
      <c r="X202" s="45">
        <f t="shared" si="69"/>
        <v>9668025.0755537525</v>
      </c>
      <c r="Y202" s="45" t="s">
        <v>2752</v>
      </c>
      <c r="Z202" s="45" t="str">
        <f t="shared" si="70"/>
        <v>Yes</v>
      </c>
      <c r="AA202" s="45" t="str">
        <f t="shared" si="70"/>
        <v>No</v>
      </c>
      <c r="AB202" s="45" t="str">
        <f t="shared" si="71"/>
        <v>Yes</v>
      </c>
      <c r="AC202" s="82">
        <f t="shared" si="72"/>
        <v>1.01</v>
      </c>
      <c r="AD202" s="82">
        <f t="shared" si="72"/>
        <v>0</v>
      </c>
      <c r="AE202" s="45">
        <f t="shared" si="73"/>
        <v>18453109.278119188</v>
      </c>
      <c r="AF202" s="45">
        <f t="shared" si="73"/>
        <v>0</v>
      </c>
      <c r="AG202" s="45">
        <f t="shared" si="74"/>
        <v>18453109.278119188</v>
      </c>
      <c r="AH202" s="47">
        <f>IFERROR(ROUNDDOWN(INDEX('90% of ACR'!K:K,MATCH(H:H,'90% of ACR'!A:A,0))*IF(I202&gt;0,IF(O202&gt;0,$R$4*MAX(O202-V202,0),0),0)/I202,2),0)</f>
        <v>1</v>
      </c>
      <c r="AI202" s="82">
        <f>IFERROR(ROUNDDOWN(INDEX('90% of ACR'!R:R,MATCH(H:H,'90% of ACR'!A:A,0))*IF(J202&gt;0,IF(P202&gt;0,$R$4*MAX(P202-W202,0),0),0)/J202,2),0)</f>
        <v>0</v>
      </c>
      <c r="AJ202" s="45">
        <f t="shared" si="75"/>
        <v>18270405.225860581</v>
      </c>
      <c r="AK202" s="45">
        <f t="shared" si="75"/>
        <v>0</v>
      </c>
      <c r="AL202" s="47">
        <f t="shared" si="76"/>
        <v>1.35</v>
      </c>
      <c r="AM202" s="47">
        <f t="shared" si="76"/>
        <v>0.92</v>
      </c>
      <c r="AN202" s="83">
        <f>IFERROR(INDEX('Fee Calc'!P:P,MATCH(C202,'Fee Calc'!F:F,0)),0)</f>
        <v>27938430.301414333</v>
      </c>
      <c r="AO202" s="83">
        <f>IFERROR(INDEX('Fee Calc'!Q:Q,MATCH(C202,'Fee Calc'!F:F,0)),0)</f>
        <v>1717606.3292063083</v>
      </c>
      <c r="AP202" s="83">
        <f t="shared" si="77"/>
        <v>29656036.630620643</v>
      </c>
      <c r="AQ202" s="70">
        <f t="shared" si="78"/>
        <v>12664076.634447196</v>
      </c>
      <c r="AR202" s="70">
        <f t="shared" si="79"/>
        <v>6332038.3172235982</v>
      </c>
      <c r="AS202" s="70">
        <f t="shared" si="80"/>
        <v>6332038.3172235982</v>
      </c>
    </row>
    <row r="203" spans="1:45">
      <c r="A203" s="104" t="s">
        <v>1022</v>
      </c>
      <c r="B203" s="124" t="s">
        <v>1022</v>
      </c>
      <c r="C203" s="31" t="s">
        <v>1023</v>
      </c>
      <c r="D203" s="125" t="s">
        <v>1023</v>
      </c>
      <c r="E203" s="119" t="s">
        <v>2455</v>
      </c>
      <c r="F203" s="100" t="s">
        <v>2279</v>
      </c>
      <c r="G203" s="100" t="s">
        <v>1202</v>
      </c>
      <c r="H203" s="43" t="str">
        <f t="shared" si="63"/>
        <v>Urban Travis</v>
      </c>
      <c r="I203" s="45">
        <f>INDEX('Fee Calc'!M:M,MATCH(C:C,'Fee Calc'!F:F,0))</f>
        <v>9972074.9954120703</v>
      </c>
      <c r="J203" s="45">
        <f>INDEX('Fee Calc'!L:L,MATCH(C:C,'Fee Calc'!F:F,0))</f>
        <v>6841243.3220511805</v>
      </c>
      <c r="K203" s="45">
        <f t="shared" si="64"/>
        <v>16813318.317463249</v>
      </c>
      <c r="L203" s="45">
        <v>15456979.539999999</v>
      </c>
      <c r="M203" s="45">
        <v>6111515.5300000003</v>
      </c>
      <c r="N203" s="45">
        <f t="shared" si="65"/>
        <v>21568495.07</v>
      </c>
      <c r="O203" s="45">
        <v>25854362.789092198</v>
      </c>
      <c r="P203" s="45">
        <v>6948560.1750016995</v>
      </c>
      <c r="Q203" s="45">
        <f t="shared" si="66"/>
        <v>32802922.964093897</v>
      </c>
      <c r="R203" s="45" t="str">
        <f t="shared" si="67"/>
        <v>Yes</v>
      </c>
      <c r="S203" s="46" t="str">
        <f t="shared" si="67"/>
        <v>Yes</v>
      </c>
      <c r="T203" s="47">
        <f>ROUND(INDEX(Summary!H:H,MATCH(H:H,Summary!A:A,0)),2)</f>
        <v>0.35</v>
      </c>
      <c r="U203" s="47">
        <f>ROUND(INDEX(Summary!I:I,MATCH(H:H,Summary!A:A,0)),2)</f>
        <v>0.92</v>
      </c>
      <c r="V203" s="81">
        <f t="shared" si="68"/>
        <v>3490226.2483942243</v>
      </c>
      <c r="W203" s="81">
        <f t="shared" si="68"/>
        <v>6293943.8562870864</v>
      </c>
      <c r="X203" s="45">
        <f t="shared" si="69"/>
        <v>9784170.1046813112</v>
      </c>
      <c r="Y203" s="45" t="s">
        <v>2752</v>
      </c>
      <c r="Z203" s="45" t="str">
        <f t="shared" si="70"/>
        <v>Yes</v>
      </c>
      <c r="AA203" s="45" t="str">
        <f t="shared" si="70"/>
        <v>Yes</v>
      </c>
      <c r="AB203" s="45" t="str">
        <f t="shared" si="71"/>
        <v>Yes</v>
      </c>
      <c r="AC203" s="82">
        <f t="shared" si="72"/>
        <v>1.56</v>
      </c>
      <c r="AD203" s="82">
        <f t="shared" si="72"/>
        <v>7.0000000000000007E-2</v>
      </c>
      <c r="AE203" s="45">
        <f t="shared" si="73"/>
        <v>15556436.992842831</v>
      </c>
      <c r="AF203" s="45">
        <f t="shared" si="73"/>
        <v>478887.03254358267</v>
      </c>
      <c r="AG203" s="45">
        <f t="shared" si="74"/>
        <v>16035324.025386414</v>
      </c>
      <c r="AH203" s="47">
        <f>IFERROR(ROUNDDOWN(INDEX('90% of ACR'!K:K,MATCH(H:H,'90% of ACR'!A:A,0))*IF(I203&gt;0,IF(O203&gt;0,$R$4*MAX(O203-V203,0),0),0)/I203,2),0)</f>
        <v>1.56</v>
      </c>
      <c r="AI203" s="82">
        <f>IFERROR(ROUNDDOWN(INDEX('90% of ACR'!R:R,MATCH(H:H,'90% of ACR'!A:A,0))*IF(J203&gt;0,IF(P203&gt;0,$R$4*MAX(P203-W203,0),0),0)/J203,2),0)</f>
        <v>0.02</v>
      </c>
      <c r="AJ203" s="45">
        <f t="shared" si="75"/>
        <v>15556436.992842831</v>
      </c>
      <c r="AK203" s="45">
        <f t="shared" si="75"/>
        <v>136824.86644102362</v>
      </c>
      <c r="AL203" s="47">
        <f t="shared" si="76"/>
        <v>1.9100000000000001</v>
      </c>
      <c r="AM203" s="47">
        <f t="shared" si="76"/>
        <v>0.94000000000000006</v>
      </c>
      <c r="AN203" s="83">
        <f>IFERROR(INDEX('Fee Calc'!P:P,MATCH(C203,'Fee Calc'!F:F,0)),0)</f>
        <v>25477431.963965166</v>
      </c>
      <c r="AO203" s="83">
        <f>IFERROR(INDEX('Fee Calc'!Q:Q,MATCH(C203,'Fee Calc'!F:F,0)),0)</f>
        <v>1604332.8673837136</v>
      </c>
      <c r="AP203" s="83">
        <f t="shared" si="77"/>
        <v>27081764.831348881</v>
      </c>
      <c r="AQ203" s="70">
        <f t="shared" si="78"/>
        <v>11564780.199460575</v>
      </c>
      <c r="AR203" s="70">
        <f t="shared" si="79"/>
        <v>5782390.0997302877</v>
      </c>
      <c r="AS203" s="70">
        <f t="shared" si="80"/>
        <v>5782390.0997302877</v>
      </c>
    </row>
    <row r="204" spans="1:45">
      <c r="A204" s="104" t="s">
        <v>389</v>
      </c>
      <c r="B204" s="124" t="s">
        <v>389</v>
      </c>
      <c r="C204" s="31" t="s">
        <v>390</v>
      </c>
      <c r="D204" s="125" t="s">
        <v>390</v>
      </c>
      <c r="E204" s="119" t="s">
        <v>2450</v>
      </c>
      <c r="F204" s="100" t="s">
        <v>2279</v>
      </c>
      <c r="G204" s="100" t="s">
        <v>1202</v>
      </c>
      <c r="H204" s="43" t="str">
        <f t="shared" si="63"/>
        <v>Urban Travis</v>
      </c>
      <c r="I204" s="45">
        <f>INDEX('Fee Calc'!M:M,MATCH(C:C,'Fee Calc'!F:F,0))</f>
        <v>122319.40760742268</v>
      </c>
      <c r="J204" s="45">
        <f>INDEX('Fee Calc'!L:L,MATCH(C:C,'Fee Calc'!F:F,0))</f>
        <v>415126.50201495091</v>
      </c>
      <c r="K204" s="45">
        <f t="shared" si="64"/>
        <v>537445.90962237353</v>
      </c>
      <c r="L204" s="45">
        <v>348387.76</v>
      </c>
      <c r="M204" s="45">
        <v>363472.63</v>
      </c>
      <c r="N204" s="45">
        <f t="shared" si="65"/>
        <v>711860.39</v>
      </c>
      <c r="O204" s="45">
        <v>251039.71601785894</v>
      </c>
      <c r="P204" s="45">
        <v>482162.78400373622</v>
      </c>
      <c r="Q204" s="45">
        <f t="shared" si="66"/>
        <v>733202.50002159516</v>
      </c>
      <c r="R204" s="45" t="str">
        <f t="shared" si="67"/>
        <v>Yes</v>
      </c>
      <c r="S204" s="46" t="str">
        <f t="shared" si="67"/>
        <v>Yes</v>
      </c>
      <c r="T204" s="47">
        <f>ROUND(INDEX(Summary!H:H,MATCH(H:H,Summary!A:A,0)),2)</f>
        <v>0.35</v>
      </c>
      <c r="U204" s="47">
        <f>ROUND(INDEX(Summary!I:I,MATCH(H:H,Summary!A:A,0)),2)</f>
        <v>0.92</v>
      </c>
      <c r="V204" s="81">
        <f t="shared" si="68"/>
        <v>42811.792662597931</v>
      </c>
      <c r="W204" s="81">
        <f t="shared" si="68"/>
        <v>381916.38185375487</v>
      </c>
      <c r="X204" s="45">
        <f t="shared" si="69"/>
        <v>424728.17451635282</v>
      </c>
      <c r="Y204" s="45" t="s">
        <v>2752</v>
      </c>
      <c r="Z204" s="45" t="str">
        <f t="shared" si="70"/>
        <v>Yes</v>
      </c>
      <c r="AA204" s="45" t="str">
        <f t="shared" si="70"/>
        <v>Yes</v>
      </c>
      <c r="AB204" s="45" t="str">
        <f t="shared" si="71"/>
        <v>Yes</v>
      </c>
      <c r="AC204" s="82">
        <f t="shared" si="72"/>
        <v>1.19</v>
      </c>
      <c r="AD204" s="82">
        <f t="shared" si="72"/>
        <v>0.17</v>
      </c>
      <c r="AE204" s="45">
        <f t="shared" si="73"/>
        <v>145560.09505283297</v>
      </c>
      <c r="AF204" s="45">
        <f t="shared" si="73"/>
        <v>70571.505342541655</v>
      </c>
      <c r="AG204" s="45">
        <f t="shared" si="74"/>
        <v>216131.60039537464</v>
      </c>
      <c r="AH204" s="47">
        <f>IFERROR(ROUNDDOWN(INDEX('90% of ACR'!K:K,MATCH(H:H,'90% of ACR'!A:A,0))*IF(I204&gt;0,IF(O204&gt;0,$R$4*MAX(O204-V204,0),0),0)/I204,2),0)</f>
        <v>1.18</v>
      </c>
      <c r="AI204" s="82">
        <f>IFERROR(ROUNDDOWN(INDEX('90% of ACR'!R:R,MATCH(H:H,'90% of ACR'!A:A,0))*IF(J204&gt;0,IF(P204&gt;0,$R$4*MAX(P204-W204,0),0),0)/J204,2),0)</f>
        <v>7.0000000000000007E-2</v>
      </c>
      <c r="AJ204" s="45">
        <f t="shared" si="75"/>
        <v>144336.90097675874</v>
      </c>
      <c r="AK204" s="45">
        <f t="shared" si="75"/>
        <v>29058.855141046566</v>
      </c>
      <c r="AL204" s="47">
        <f t="shared" si="76"/>
        <v>1.5299999999999998</v>
      </c>
      <c r="AM204" s="47">
        <f t="shared" si="76"/>
        <v>0.99</v>
      </c>
      <c r="AN204" s="83">
        <f>IFERROR(INDEX('Fee Calc'!P:P,MATCH(C204,'Fee Calc'!F:F,0)),0)</f>
        <v>598123.93063415808</v>
      </c>
      <c r="AO204" s="83">
        <f>IFERROR(INDEX('Fee Calc'!Q:Q,MATCH(C204,'Fee Calc'!F:F,0)),0)</f>
        <v>36966.252428688334</v>
      </c>
      <c r="AP204" s="83">
        <f t="shared" si="77"/>
        <v>635090.18306284642</v>
      </c>
      <c r="AQ204" s="70">
        <f t="shared" si="78"/>
        <v>271203.83105369343</v>
      </c>
      <c r="AR204" s="70">
        <f t="shared" si="79"/>
        <v>135601.91552684671</v>
      </c>
      <c r="AS204" s="70">
        <f t="shared" si="80"/>
        <v>135601.91552684671</v>
      </c>
    </row>
    <row r="205" spans="1:45">
      <c r="A205" s="104" t="s">
        <v>545</v>
      </c>
      <c r="B205" s="124" t="s">
        <v>545</v>
      </c>
      <c r="C205" s="31" t="s">
        <v>546</v>
      </c>
      <c r="D205" s="125" t="s">
        <v>546</v>
      </c>
      <c r="E205" s="119" t="s">
        <v>2863</v>
      </c>
      <c r="F205" s="100" t="s">
        <v>2291</v>
      </c>
      <c r="G205" s="100" t="s">
        <v>1486</v>
      </c>
      <c r="H205" s="43" t="str">
        <f t="shared" si="63"/>
        <v>Rural MRSA Central</v>
      </c>
      <c r="I205" s="45">
        <f>INDEX('Fee Calc'!M:M,MATCH(C:C,'Fee Calc'!F:F,0))</f>
        <v>52598.79298831529</v>
      </c>
      <c r="J205" s="45">
        <f>INDEX('Fee Calc'!L:L,MATCH(C:C,'Fee Calc'!F:F,0))</f>
        <v>295997.96443849604</v>
      </c>
      <c r="K205" s="45">
        <f t="shared" si="64"/>
        <v>348596.75742681132</v>
      </c>
      <c r="L205" s="45">
        <v>33266.42</v>
      </c>
      <c r="M205" s="45">
        <v>49131.47</v>
      </c>
      <c r="N205" s="45">
        <f t="shared" si="65"/>
        <v>82397.89</v>
      </c>
      <c r="O205" s="45">
        <v>-100.98386476893938</v>
      </c>
      <c r="P205" s="45">
        <v>13054.004380149563</v>
      </c>
      <c r="Q205" s="45">
        <f t="shared" si="66"/>
        <v>12953.020515380624</v>
      </c>
      <c r="R205" s="45" t="str">
        <f t="shared" si="67"/>
        <v>No</v>
      </c>
      <c r="S205" s="46" t="str">
        <f t="shared" si="67"/>
        <v>Yes</v>
      </c>
      <c r="T205" s="47">
        <f>ROUND(INDEX(Summary!H:H,MATCH(H:H,Summary!A:A,0)),2)</f>
        <v>0.09</v>
      </c>
      <c r="U205" s="47">
        <f>ROUND(INDEX(Summary!I:I,MATCH(H:H,Summary!A:A,0)),2)</f>
        <v>0.09</v>
      </c>
      <c r="V205" s="81">
        <f t="shared" si="68"/>
        <v>4733.8913689483761</v>
      </c>
      <c r="W205" s="81">
        <f t="shared" si="68"/>
        <v>26639.816799464643</v>
      </c>
      <c r="X205" s="45">
        <f t="shared" si="69"/>
        <v>31373.708168413017</v>
      </c>
      <c r="Y205" s="45" t="s">
        <v>2752</v>
      </c>
      <c r="Z205" s="45" t="str">
        <f t="shared" si="70"/>
        <v>No</v>
      </c>
      <c r="AA205" s="45" t="str">
        <f t="shared" si="70"/>
        <v>No</v>
      </c>
      <c r="AB205" s="45" t="str">
        <f t="shared" si="71"/>
        <v>No</v>
      </c>
      <c r="AC205" s="82">
        <f t="shared" si="72"/>
        <v>0</v>
      </c>
      <c r="AD205" s="82">
        <f t="shared" si="72"/>
        <v>0</v>
      </c>
      <c r="AE205" s="45">
        <f t="shared" si="73"/>
        <v>0</v>
      </c>
      <c r="AF205" s="45">
        <f t="shared" si="73"/>
        <v>0</v>
      </c>
      <c r="AG205" s="45">
        <f t="shared" si="74"/>
        <v>0</v>
      </c>
      <c r="AH205" s="47">
        <f>IFERROR(ROUNDDOWN(INDEX('90% of ACR'!K:K,MATCH(H:H,'90% of ACR'!A:A,0))*IF(I205&gt;0,IF(O205&gt;0,$R$4*MAX(O205-V205,0),0),0)/I205,2),0)</f>
        <v>0</v>
      </c>
      <c r="AI205" s="82">
        <f>IFERROR(ROUNDDOWN(INDEX('90% of ACR'!R:R,MATCH(H:H,'90% of ACR'!A:A,0))*IF(J205&gt;0,IF(P205&gt;0,$R$4*MAX(P205-W205,0),0),0)/J205,2),0)</f>
        <v>0</v>
      </c>
      <c r="AJ205" s="45">
        <f t="shared" si="75"/>
        <v>0</v>
      </c>
      <c r="AK205" s="45">
        <f t="shared" si="75"/>
        <v>0</v>
      </c>
      <c r="AL205" s="47">
        <f t="shared" si="76"/>
        <v>0.09</v>
      </c>
      <c r="AM205" s="47">
        <f t="shared" si="76"/>
        <v>0.09</v>
      </c>
      <c r="AN205" s="83">
        <f>IFERROR(INDEX('Fee Calc'!P:P,MATCH(C205,'Fee Calc'!F:F,0)),0)</f>
        <v>31373.708168413017</v>
      </c>
      <c r="AO205" s="83">
        <f>IFERROR(INDEX('Fee Calc'!Q:Q,MATCH(C205,'Fee Calc'!F:F,0)),0)</f>
        <v>1949.7790946604384</v>
      </c>
      <c r="AP205" s="83">
        <f t="shared" si="77"/>
        <v>33323.487263073454</v>
      </c>
      <c r="AQ205" s="70">
        <f t="shared" si="78"/>
        <v>14230.195412924782</v>
      </c>
      <c r="AR205" s="70">
        <f t="shared" si="79"/>
        <v>7115.0977064623912</v>
      </c>
      <c r="AS205" s="70">
        <f t="shared" si="80"/>
        <v>7115.0977064623912</v>
      </c>
    </row>
    <row r="206" spans="1:45">
      <c r="A206" s="104" t="s">
        <v>386</v>
      </c>
      <c r="B206" s="124" t="s">
        <v>386</v>
      </c>
      <c r="C206" s="31" t="s">
        <v>387</v>
      </c>
      <c r="D206" s="125" t="s">
        <v>387</v>
      </c>
      <c r="E206" s="119" t="s">
        <v>2447</v>
      </c>
      <c r="F206" s="100" t="s">
        <v>2279</v>
      </c>
      <c r="G206" s="100" t="s">
        <v>1202</v>
      </c>
      <c r="H206" s="43" t="str">
        <f t="shared" si="63"/>
        <v>Urban Travis</v>
      </c>
      <c r="I206" s="45">
        <f>INDEX('Fee Calc'!M:M,MATCH(C:C,'Fee Calc'!F:F,0))</f>
        <v>3886211.2913123025</v>
      </c>
      <c r="J206" s="45">
        <f>INDEX('Fee Calc'!L:L,MATCH(C:C,'Fee Calc'!F:F,0))</f>
        <v>1774285.4642514412</v>
      </c>
      <c r="K206" s="45">
        <f t="shared" si="64"/>
        <v>5660496.7555637434</v>
      </c>
      <c r="L206" s="45">
        <v>2280687.2999999998</v>
      </c>
      <c r="M206" s="45">
        <v>1393099.12</v>
      </c>
      <c r="N206" s="45">
        <f t="shared" si="65"/>
        <v>3673786.42</v>
      </c>
      <c r="O206" s="45">
        <v>5265058.9935981743</v>
      </c>
      <c r="P206" s="45">
        <v>1477756.1759160622</v>
      </c>
      <c r="Q206" s="45">
        <f t="shared" si="66"/>
        <v>6742815.169514237</v>
      </c>
      <c r="R206" s="45" t="str">
        <f t="shared" si="67"/>
        <v>Yes</v>
      </c>
      <c r="S206" s="46" t="str">
        <f t="shared" si="67"/>
        <v>Yes</v>
      </c>
      <c r="T206" s="47">
        <f>ROUND(INDEX(Summary!H:H,MATCH(H:H,Summary!A:A,0)),2)</f>
        <v>0.35</v>
      </c>
      <c r="U206" s="47">
        <f>ROUND(INDEX(Summary!I:I,MATCH(H:H,Summary!A:A,0)),2)</f>
        <v>0.92</v>
      </c>
      <c r="V206" s="81">
        <f t="shared" si="68"/>
        <v>1360173.9519593057</v>
      </c>
      <c r="W206" s="81">
        <f t="shared" si="68"/>
        <v>1632342.627111326</v>
      </c>
      <c r="X206" s="45">
        <f t="shared" si="69"/>
        <v>2992516.5790706314</v>
      </c>
      <c r="Y206" s="45" t="s">
        <v>2752</v>
      </c>
      <c r="Z206" s="45" t="str">
        <f t="shared" si="70"/>
        <v>Yes</v>
      </c>
      <c r="AA206" s="45" t="str">
        <f t="shared" si="70"/>
        <v>No</v>
      </c>
      <c r="AB206" s="45" t="str">
        <f t="shared" si="71"/>
        <v>Yes</v>
      </c>
      <c r="AC206" s="82">
        <f t="shared" si="72"/>
        <v>0.7</v>
      </c>
      <c r="AD206" s="82">
        <f t="shared" si="72"/>
        <v>0</v>
      </c>
      <c r="AE206" s="45">
        <f t="shared" si="73"/>
        <v>2720347.9039186114</v>
      </c>
      <c r="AF206" s="45">
        <f t="shared" si="73"/>
        <v>0</v>
      </c>
      <c r="AG206" s="45">
        <f t="shared" si="74"/>
        <v>2720347.9039186114</v>
      </c>
      <c r="AH206" s="47">
        <f>IFERROR(ROUNDDOWN(INDEX('90% of ACR'!K:K,MATCH(H:H,'90% of ACR'!A:A,0))*IF(I206&gt;0,IF(O206&gt;0,$R$4*MAX(O206-V206,0),0),0)/I206,2),0)</f>
        <v>0.69</v>
      </c>
      <c r="AI206" s="82">
        <f>IFERROR(ROUNDDOWN(INDEX('90% of ACR'!R:R,MATCH(H:H,'90% of ACR'!A:A,0))*IF(J206&gt;0,IF(P206&gt;0,$R$4*MAX(P206-W206,0),0),0)/J206,2),0)</f>
        <v>0</v>
      </c>
      <c r="AJ206" s="45">
        <f t="shared" si="75"/>
        <v>2681485.7910054885</v>
      </c>
      <c r="AK206" s="45">
        <f t="shared" si="75"/>
        <v>0</v>
      </c>
      <c r="AL206" s="47">
        <f t="shared" si="76"/>
        <v>1.04</v>
      </c>
      <c r="AM206" s="47">
        <f t="shared" si="76"/>
        <v>0.92</v>
      </c>
      <c r="AN206" s="83">
        <f>IFERROR(INDEX('Fee Calc'!P:P,MATCH(C206,'Fee Calc'!F:F,0)),0)</f>
        <v>5674002.3700761208</v>
      </c>
      <c r="AO206" s="83">
        <f>IFERROR(INDEX('Fee Calc'!Q:Q,MATCH(C206,'Fee Calc'!F:F,0)),0)</f>
        <v>348447.64399459329</v>
      </c>
      <c r="AP206" s="83">
        <f t="shared" si="77"/>
        <v>6022450.0140707139</v>
      </c>
      <c r="AQ206" s="70">
        <f t="shared" si="78"/>
        <v>2571778.8744086451</v>
      </c>
      <c r="AR206" s="70">
        <f t="shared" si="79"/>
        <v>1285889.4372043225</v>
      </c>
      <c r="AS206" s="70">
        <f t="shared" si="80"/>
        <v>1285889.4372043225</v>
      </c>
    </row>
    <row r="207" spans="1:45">
      <c r="A207" s="104" t="s">
        <v>392</v>
      </c>
      <c r="B207" s="124" t="s">
        <v>392</v>
      </c>
      <c r="C207" s="31" t="s">
        <v>393</v>
      </c>
      <c r="D207" s="125" t="s">
        <v>393</v>
      </c>
      <c r="E207" s="119" t="s">
        <v>2452</v>
      </c>
      <c r="F207" s="100" t="s">
        <v>1547</v>
      </c>
      <c r="G207" s="100" t="s">
        <v>1202</v>
      </c>
      <c r="H207" s="43" t="str">
        <f t="shared" si="63"/>
        <v>Children's Travis</v>
      </c>
      <c r="I207" s="45">
        <f>INDEX('Fee Calc'!M:M,MATCH(C:C,'Fee Calc'!F:F,0))</f>
        <v>62725342.302522086</v>
      </c>
      <c r="J207" s="45">
        <f>INDEX('Fee Calc'!L:L,MATCH(C:C,'Fee Calc'!F:F,0))</f>
        <v>19843112.696584657</v>
      </c>
      <c r="K207" s="45">
        <f t="shared" si="64"/>
        <v>82568454.999106735</v>
      </c>
      <c r="L207" s="45">
        <v>-8486159.6899999995</v>
      </c>
      <c r="M207" s="45">
        <v>7421761.0599999996</v>
      </c>
      <c r="N207" s="45">
        <f t="shared" si="65"/>
        <v>-1064398.6299999999</v>
      </c>
      <c r="O207" s="45">
        <v>133245726.61420688</v>
      </c>
      <c r="P207" s="45">
        <v>39519806.024486318</v>
      </c>
      <c r="Q207" s="45">
        <f t="shared" si="66"/>
        <v>172765532.63869321</v>
      </c>
      <c r="R207" s="45" t="str">
        <f t="shared" si="67"/>
        <v>Yes</v>
      </c>
      <c r="S207" s="46" t="str">
        <f t="shared" si="67"/>
        <v>Yes</v>
      </c>
      <c r="T207" s="47">
        <f>ROUND(INDEX(Summary!H:H,MATCH(H:H,Summary!A:A,0)),2)</f>
        <v>0</v>
      </c>
      <c r="U207" s="47">
        <f>ROUND(INDEX(Summary!I:I,MATCH(H:H,Summary!A:A,0)),2)</f>
        <v>0.37</v>
      </c>
      <c r="V207" s="81">
        <f t="shared" si="68"/>
        <v>0</v>
      </c>
      <c r="W207" s="81">
        <f t="shared" si="68"/>
        <v>7341951.6977363229</v>
      </c>
      <c r="X207" s="45">
        <f t="shared" si="69"/>
        <v>7341951.6977363229</v>
      </c>
      <c r="Y207" s="45" t="s">
        <v>2752</v>
      </c>
      <c r="Z207" s="45" t="str">
        <f t="shared" si="70"/>
        <v>Yes</v>
      </c>
      <c r="AA207" s="45" t="str">
        <f t="shared" si="70"/>
        <v>Yes</v>
      </c>
      <c r="AB207" s="45" t="str">
        <f t="shared" si="71"/>
        <v>Yes</v>
      </c>
      <c r="AC207" s="82">
        <f t="shared" si="72"/>
        <v>1.48</v>
      </c>
      <c r="AD207" s="82">
        <f t="shared" si="72"/>
        <v>1.1299999999999999</v>
      </c>
      <c r="AE207" s="45">
        <f t="shared" si="73"/>
        <v>92833506.607732683</v>
      </c>
      <c r="AF207" s="45">
        <f t="shared" si="73"/>
        <v>22422717.347140659</v>
      </c>
      <c r="AG207" s="45">
        <f t="shared" si="74"/>
        <v>115256223.95487334</v>
      </c>
      <c r="AH207" s="47">
        <f>IFERROR(ROUNDDOWN(INDEX('90% of ACR'!K:K,MATCH(H:H,'90% of ACR'!A:A,0))*IF(I207&gt;0,IF(O207&gt;0,$R$4*MAX(O207-V207,0),0),0)/I207,2),0)</f>
        <v>1.47</v>
      </c>
      <c r="AI207" s="82">
        <f>IFERROR(ROUNDDOWN(INDEX('90% of ACR'!R:R,MATCH(H:H,'90% of ACR'!A:A,0))*IF(J207&gt;0,IF(P207&gt;0,$R$4*MAX(P207-W207,0),0),0)/J207,2),0)</f>
        <v>1.1200000000000001</v>
      </c>
      <c r="AJ207" s="45">
        <f t="shared" si="75"/>
        <v>92206253.184707463</v>
      </c>
      <c r="AK207" s="45">
        <f t="shared" si="75"/>
        <v>22224286.220174819</v>
      </c>
      <c r="AL207" s="47">
        <f t="shared" si="76"/>
        <v>1.47</v>
      </c>
      <c r="AM207" s="47">
        <f t="shared" si="76"/>
        <v>1.4900000000000002</v>
      </c>
      <c r="AN207" s="83">
        <f>IFERROR(INDEX('Fee Calc'!P:P,MATCH(C207,'Fee Calc'!F:F,0)),0)</f>
        <v>121772491.1026186</v>
      </c>
      <c r="AO207" s="83">
        <f>IFERROR(INDEX('Fee Calc'!Q:Q,MATCH(C207,'Fee Calc'!F:F,0)),0)</f>
        <v>7433522.7023445033</v>
      </c>
      <c r="AP207" s="83">
        <f t="shared" si="77"/>
        <v>129206013.80496311</v>
      </c>
      <c r="AQ207" s="70">
        <f t="shared" si="78"/>
        <v>55175102.487161011</v>
      </c>
      <c r="AR207" s="70">
        <f t="shared" si="79"/>
        <v>27587551.243580505</v>
      </c>
      <c r="AS207" s="70">
        <f t="shared" si="80"/>
        <v>27587551.243580505</v>
      </c>
    </row>
    <row r="208" spans="1:45">
      <c r="A208" s="104" t="s">
        <v>1034</v>
      </c>
      <c r="B208" s="124" t="s">
        <v>1034</v>
      </c>
      <c r="C208" s="31" t="s">
        <v>1035</v>
      </c>
      <c r="D208" s="125" t="s">
        <v>1035</v>
      </c>
      <c r="E208" s="119" t="s">
        <v>2453</v>
      </c>
      <c r="F208" s="100" t="s">
        <v>2279</v>
      </c>
      <c r="G208" s="100" t="s">
        <v>1202</v>
      </c>
      <c r="H208" s="43" t="str">
        <f t="shared" si="63"/>
        <v>Urban Travis</v>
      </c>
      <c r="I208" s="45">
        <f>INDEX('Fee Calc'!M:M,MATCH(C:C,'Fee Calc'!F:F,0))</f>
        <v>2721817.097070918</v>
      </c>
      <c r="J208" s="45">
        <f>INDEX('Fee Calc'!L:L,MATCH(C:C,'Fee Calc'!F:F,0))</f>
        <v>1841996.1066688877</v>
      </c>
      <c r="K208" s="45">
        <f t="shared" si="64"/>
        <v>4563813.2037398051</v>
      </c>
      <c r="L208" s="45">
        <v>1434675.18</v>
      </c>
      <c r="M208" s="45">
        <v>1761754.51</v>
      </c>
      <c r="N208" s="45">
        <f t="shared" si="65"/>
        <v>3196429.69</v>
      </c>
      <c r="O208" s="45">
        <v>6524860.0569691435</v>
      </c>
      <c r="P208" s="45">
        <v>2122701.3231872581</v>
      </c>
      <c r="Q208" s="45">
        <f t="shared" si="66"/>
        <v>8647561.3801564015</v>
      </c>
      <c r="R208" s="45" t="str">
        <f t="shared" si="67"/>
        <v>Yes</v>
      </c>
      <c r="S208" s="46" t="str">
        <f t="shared" si="67"/>
        <v>Yes</v>
      </c>
      <c r="T208" s="47">
        <f>ROUND(INDEX(Summary!H:H,MATCH(H:H,Summary!A:A,0)),2)</f>
        <v>0.35</v>
      </c>
      <c r="U208" s="47">
        <f>ROUND(INDEX(Summary!I:I,MATCH(H:H,Summary!A:A,0)),2)</f>
        <v>0.92</v>
      </c>
      <c r="V208" s="81">
        <f t="shared" si="68"/>
        <v>952635.98397482117</v>
      </c>
      <c r="W208" s="81">
        <f t="shared" si="68"/>
        <v>1694636.4181353766</v>
      </c>
      <c r="X208" s="45">
        <f t="shared" si="69"/>
        <v>2647272.4021101976</v>
      </c>
      <c r="Y208" s="45" t="s">
        <v>2752</v>
      </c>
      <c r="Z208" s="45" t="str">
        <f t="shared" si="70"/>
        <v>Yes</v>
      </c>
      <c r="AA208" s="45" t="str">
        <f t="shared" si="70"/>
        <v>Yes</v>
      </c>
      <c r="AB208" s="45" t="str">
        <f t="shared" si="71"/>
        <v>Yes</v>
      </c>
      <c r="AC208" s="82">
        <f t="shared" si="72"/>
        <v>1.43</v>
      </c>
      <c r="AD208" s="82">
        <f t="shared" si="72"/>
        <v>0.16</v>
      </c>
      <c r="AE208" s="45">
        <f t="shared" si="73"/>
        <v>3892198.4488114123</v>
      </c>
      <c r="AF208" s="45">
        <f t="shared" si="73"/>
        <v>294719.37706702203</v>
      </c>
      <c r="AG208" s="45">
        <f t="shared" si="74"/>
        <v>4186917.8258784343</v>
      </c>
      <c r="AH208" s="47">
        <f>IFERROR(ROUNDDOWN(INDEX('90% of ACR'!K:K,MATCH(H:H,'90% of ACR'!A:A,0))*IF(I208&gt;0,IF(O208&gt;0,$R$4*MAX(O208-V208,0),0),0)/I208,2),0)</f>
        <v>1.42</v>
      </c>
      <c r="AI208" s="82">
        <f>IFERROR(ROUNDDOWN(INDEX('90% of ACR'!R:R,MATCH(H:H,'90% of ACR'!A:A,0))*IF(J208&gt;0,IF(P208&gt;0,$R$4*MAX(P208-W208,0),0),0)/J208,2),0)</f>
        <v>0.06</v>
      </c>
      <c r="AJ208" s="45">
        <f t="shared" si="75"/>
        <v>3864980.2778407033</v>
      </c>
      <c r="AK208" s="45">
        <f t="shared" si="75"/>
        <v>110519.76640013326</v>
      </c>
      <c r="AL208" s="47">
        <f t="shared" si="76"/>
        <v>1.77</v>
      </c>
      <c r="AM208" s="47">
        <f t="shared" si="76"/>
        <v>0.98</v>
      </c>
      <c r="AN208" s="83">
        <f>IFERROR(INDEX('Fee Calc'!P:P,MATCH(C208,'Fee Calc'!F:F,0)),0)</f>
        <v>6622772.4463510346</v>
      </c>
      <c r="AO208" s="83">
        <f>IFERROR(INDEX('Fee Calc'!Q:Q,MATCH(C208,'Fee Calc'!F:F,0)),0)</f>
        <v>412453.88703827979</v>
      </c>
      <c r="AP208" s="83">
        <f t="shared" si="77"/>
        <v>7035226.3333893139</v>
      </c>
      <c r="AQ208" s="70">
        <f t="shared" si="78"/>
        <v>3004266.7715999056</v>
      </c>
      <c r="AR208" s="70">
        <f t="shared" si="79"/>
        <v>1502133.3857999528</v>
      </c>
      <c r="AS208" s="70">
        <f t="shared" si="80"/>
        <v>1502133.3857999528</v>
      </c>
    </row>
    <row r="209" spans="1:45">
      <c r="A209" s="104" t="s">
        <v>1031</v>
      </c>
      <c r="B209" s="124" t="s">
        <v>1031</v>
      </c>
      <c r="C209" s="31" t="s">
        <v>1032</v>
      </c>
      <c r="D209" s="125" t="s">
        <v>1032</v>
      </c>
      <c r="E209" s="119" t="s">
        <v>2451</v>
      </c>
      <c r="F209" s="100" t="s">
        <v>2279</v>
      </c>
      <c r="G209" s="100" t="s">
        <v>1202</v>
      </c>
      <c r="H209" s="43" t="str">
        <f t="shared" si="63"/>
        <v>Urban Travis</v>
      </c>
      <c r="I209" s="45">
        <f>INDEX('Fee Calc'!M:M,MATCH(C:C,'Fee Calc'!F:F,0))</f>
        <v>5283486.6950091626</v>
      </c>
      <c r="J209" s="45">
        <f>INDEX('Fee Calc'!L:L,MATCH(C:C,'Fee Calc'!F:F,0))</f>
        <v>2134868.4833377716</v>
      </c>
      <c r="K209" s="45">
        <f t="shared" si="64"/>
        <v>7418355.1783469338</v>
      </c>
      <c r="L209" s="45">
        <v>2705232.9</v>
      </c>
      <c r="M209" s="45">
        <v>2466853.92</v>
      </c>
      <c r="N209" s="45">
        <f t="shared" si="65"/>
        <v>5172086.82</v>
      </c>
      <c r="O209" s="45">
        <v>9373134.1691778637</v>
      </c>
      <c r="P209" s="45">
        <v>2771656.1536327312</v>
      </c>
      <c r="Q209" s="45">
        <f t="shared" si="66"/>
        <v>12144790.322810594</v>
      </c>
      <c r="R209" s="45" t="str">
        <f t="shared" si="67"/>
        <v>Yes</v>
      </c>
      <c r="S209" s="46" t="str">
        <f t="shared" si="67"/>
        <v>Yes</v>
      </c>
      <c r="T209" s="47">
        <f>ROUND(INDEX(Summary!H:H,MATCH(H:H,Summary!A:A,0)),2)</f>
        <v>0.35</v>
      </c>
      <c r="U209" s="47">
        <f>ROUND(INDEX(Summary!I:I,MATCH(H:H,Summary!A:A,0)),2)</f>
        <v>0.92</v>
      </c>
      <c r="V209" s="81">
        <f t="shared" si="68"/>
        <v>1849220.3432532067</v>
      </c>
      <c r="W209" s="81">
        <f t="shared" si="68"/>
        <v>1964079.0046707499</v>
      </c>
      <c r="X209" s="45">
        <f t="shared" si="69"/>
        <v>3813299.3479239568</v>
      </c>
      <c r="Y209" s="45" t="s">
        <v>2752</v>
      </c>
      <c r="Z209" s="45" t="str">
        <f t="shared" si="70"/>
        <v>Yes</v>
      </c>
      <c r="AA209" s="45" t="str">
        <f t="shared" si="70"/>
        <v>Yes</v>
      </c>
      <c r="AB209" s="45" t="str">
        <f t="shared" si="71"/>
        <v>Yes</v>
      </c>
      <c r="AC209" s="82">
        <f t="shared" si="72"/>
        <v>0.99</v>
      </c>
      <c r="AD209" s="82">
        <f t="shared" si="72"/>
        <v>0.26</v>
      </c>
      <c r="AE209" s="45">
        <f t="shared" si="73"/>
        <v>5230651.8280590707</v>
      </c>
      <c r="AF209" s="45">
        <f t="shared" si="73"/>
        <v>555065.80566782062</v>
      </c>
      <c r="AG209" s="45">
        <f t="shared" si="74"/>
        <v>5785717.6337268911</v>
      </c>
      <c r="AH209" s="47">
        <f>IFERROR(ROUNDDOWN(INDEX('90% of ACR'!K:K,MATCH(H:H,'90% of ACR'!A:A,0))*IF(I209&gt;0,IF(O209&gt;0,$R$4*MAX(O209-V209,0),0),0)/I209,2),0)</f>
        <v>0.99</v>
      </c>
      <c r="AI209" s="82">
        <f>IFERROR(ROUNDDOWN(INDEX('90% of ACR'!R:R,MATCH(H:H,'90% of ACR'!A:A,0))*IF(J209&gt;0,IF(P209&gt;0,$R$4*MAX(P209-W209,0),0),0)/J209,2),0)</f>
        <v>0.11</v>
      </c>
      <c r="AJ209" s="45">
        <f t="shared" si="75"/>
        <v>5230651.8280590707</v>
      </c>
      <c r="AK209" s="45">
        <f t="shared" si="75"/>
        <v>234835.53316715488</v>
      </c>
      <c r="AL209" s="47">
        <f t="shared" si="76"/>
        <v>1.3399999999999999</v>
      </c>
      <c r="AM209" s="47">
        <f t="shared" si="76"/>
        <v>1.03</v>
      </c>
      <c r="AN209" s="83">
        <f>IFERROR(INDEX('Fee Calc'!P:P,MATCH(C209,'Fee Calc'!F:F,0)),0)</f>
        <v>9278786.7091501821</v>
      </c>
      <c r="AO209" s="83">
        <f>IFERROR(INDEX('Fee Calc'!Q:Q,MATCH(C209,'Fee Calc'!F:F,0)),0)</f>
        <v>574120.69009882689</v>
      </c>
      <c r="AP209" s="83">
        <f t="shared" si="77"/>
        <v>9852907.3992490098</v>
      </c>
      <c r="AQ209" s="70">
        <f t="shared" si="78"/>
        <v>4207506.752516103</v>
      </c>
      <c r="AR209" s="70">
        <f t="shared" si="79"/>
        <v>2103753.3762580515</v>
      </c>
      <c r="AS209" s="70">
        <f t="shared" si="80"/>
        <v>2103753.3762580515</v>
      </c>
    </row>
    <row r="210" spans="1:45">
      <c r="A210" s="104" t="s">
        <v>1621</v>
      </c>
      <c r="B210" s="124" t="s">
        <v>1621</v>
      </c>
      <c r="C210" s="31" t="s">
        <v>1622</v>
      </c>
      <c r="D210" s="125" t="s">
        <v>1622</v>
      </c>
      <c r="E210" s="119" t="s">
        <v>2454</v>
      </c>
      <c r="F210" s="100" t="s">
        <v>2279</v>
      </c>
      <c r="G210" s="100" t="s">
        <v>1202</v>
      </c>
      <c r="H210" s="43" t="str">
        <f t="shared" si="63"/>
        <v>Urban Travis</v>
      </c>
      <c r="I210" s="45">
        <f>INDEX('Fee Calc'!M:M,MATCH(C:C,'Fee Calc'!F:F,0))</f>
        <v>47738.391015574809</v>
      </c>
      <c r="J210" s="45">
        <f>INDEX('Fee Calc'!L:L,MATCH(C:C,'Fee Calc'!F:F,0))</f>
        <v>601859.19596370321</v>
      </c>
      <c r="K210" s="45">
        <f t="shared" si="64"/>
        <v>649597.58697927801</v>
      </c>
      <c r="L210" s="45">
        <v>77191.33</v>
      </c>
      <c r="M210" s="45">
        <v>270277.57</v>
      </c>
      <c r="N210" s="45">
        <f t="shared" si="65"/>
        <v>347468.9</v>
      </c>
      <c r="O210" s="45">
        <v>79477.788280614914</v>
      </c>
      <c r="P210" s="45">
        <v>273195.50190464652</v>
      </c>
      <c r="Q210" s="45">
        <f t="shared" si="66"/>
        <v>352673.2901852614</v>
      </c>
      <c r="R210" s="45" t="str">
        <f t="shared" si="67"/>
        <v>Yes</v>
      </c>
      <c r="S210" s="46" t="str">
        <f t="shared" si="67"/>
        <v>Yes</v>
      </c>
      <c r="T210" s="47">
        <f>ROUND(INDEX(Summary!H:H,MATCH(H:H,Summary!A:A,0)),2)</f>
        <v>0.35</v>
      </c>
      <c r="U210" s="47">
        <f>ROUND(INDEX(Summary!I:I,MATCH(H:H,Summary!A:A,0)),2)</f>
        <v>0.92</v>
      </c>
      <c r="V210" s="81">
        <f t="shared" si="68"/>
        <v>16708.436855451182</v>
      </c>
      <c r="W210" s="81">
        <f t="shared" si="68"/>
        <v>553710.46028660703</v>
      </c>
      <c r="X210" s="45">
        <f t="shared" si="69"/>
        <v>570418.89714205824</v>
      </c>
      <c r="Y210" s="45" t="s">
        <v>2752</v>
      </c>
      <c r="Z210" s="45" t="str">
        <f t="shared" si="70"/>
        <v>Yes</v>
      </c>
      <c r="AA210" s="45" t="str">
        <f t="shared" si="70"/>
        <v>No</v>
      </c>
      <c r="AB210" s="45" t="str">
        <f t="shared" si="71"/>
        <v>Yes</v>
      </c>
      <c r="AC210" s="82">
        <f t="shared" si="72"/>
        <v>0.92</v>
      </c>
      <c r="AD210" s="82">
        <f t="shared" si="72"/>
        <v>0</v>
      </c>
      <c r="AE210" s="45">
        <f t="shared" si="73"/>
        <v>43919.319734328827</v>
      </c>
      <c r="AF210" s="45">
        <f t="shared" si="73"/>
        <v>0</v>
      </c>
      <c r="AG210" s="45">
        <f t="shared" si="74"/>
        <v>43919.319734328827</v>
      </c>
      <c r="AH210" s="47">
        <f>IFERROR(ROUNDDOWN(INDEX('90% of ACR'!K:K,MATCH(H:H,'90% of ACR'!A:A,0))*IF(I210&gt;0,IF(O210&gt;0,$R$4*MAX(O210-V210,0),0),0)/I210,2),0)</f>
        <v>0.91</v>
      </c>
      <c r="AI210" s="82">
        <f>IFERROR(ROUNDDOWN(INDEX('90% of ACR'!R:R,MATCH(H:H,'90% of ACR'!A:A,0))*IF(J210&gt;0,IF(P210&gt;0,$R$4*MAX(P210-W210,0),0),0)/J210,2),0)</f>
        <v>0</v>
      </c>
      <c r="AJ210" s="45">
        <f t="shared" si="75"/>
        <v>43441.935824173081</v>
      </c>
      <c r="AK210" s="45">
        <f t="shared" si="75"/>
        <v>0</v>
      </c>
      <c r="AL210" s="47">
        <f t="shared" si="76"/>
        <v>1.26</v>
      </c>
      <c r="AM210" s="47">
        <f t="shared" si="76"/>
        <v>0.92</v>
      </c>
      <c r="AN210" s="83">
        <f>IFERROR(INDEX('Fee Calc'!P:P,MATCH(C210,'Fee Calc'!F:F,0)),0)</f>
        <v>613860.83296623128</v>
      </c>
      <c r="AO210" s="83">
        <f>IFERROR(INDEX('Fee Calc'!Q:Q,MATCH(C210,'Fee Calc'!F:F,0)),0)</f>
        <v>38064.157284112211</v>
      </c>
      <c r="AP210" s="83">
        <f t="shared" si="77"/>
        <v>651924.99025034346</v>
      </c>
      <c r="AQ210" s="70">
        <f t="shared" si="78"/>
        <v>278392.83243658469</v>
      </c>
      <c r="AR210" s="70">
        <f t="shared" si="79"/>
        <v>139196.41621829235</v>
      </c>
      <c r="AS210" s="70">
        <f t="shared" si="80"/>
        <v>139196.41621829235</v>
      </c>
    </row>
    <row r="211" spans="1:45">
      <c r="A211" s="104" t="s">
        <v>2530</v>
      </c>
      <c r="B211" s="124" t="s">
        <v>2530</v>
      </c>
      <c r="C211" s="31" t="s">
        <v>2725</v>
      </c>
      <c r="D211" s="125" t="s">
        <v>2725</v>
      </c>
      <c r="E211" s="119" t="s">
        <v>2531</v>
      </c>
      <c r="F211" s="100" t="s">
        <v>2279</v>
      </c>
      <c r="G211" s="100" t="s">
        <v>1202</v>
      </c>
      <c r="H211" s="43" t="str">
        <f t="shared" si="63"/>
        <v>Urban Travis</v>
      </c>
      <c r="I211" s="45">
        <f>INDEX('Fee Calc'!M:M,MATCH(C:C,'Fee Calc'!F:F,0))</f>
        <v>0</v>
      </c>
      <c r="J211" s="45">
        <f>INDEX('Fee Calc'!L:L,MATCH(C:C,'Fee Calc'!F:F,0))</f>
        <v>618.73110646097734</v>
      </c>
      <c r="K211" s="45">
        <f t="shared" si="64"/>
        <v>618.73110646097734</v>
      </c>
      <c r="L211" s="45">
        <v>0</v>
      </c>
      <c r="M211" s="45">
        <v>1100.6099999999999</v>
      </c>
      <c r="N211" s="45">
        <f t="shared" si="65"/>
        <v>1100.6099999999999</v>
      </c>
      <c r="O211" s="45">
        <v>0</v>
      </c>
      <c r="P211" s="45">
        <v>2122.0332664004513</v>
      </c>
      <c r="Q211" s="45">
        <f t="shared" si="66"/>
        <v>2122.0332664004513</v>
      </c>
      <c r="R211" s="45" t="str">
        <f t="shared" si="67"/>
        <v>No</v>
      </c>
      <c r="S211" s="46" t="str">
        <f t="shared" si="67"/>
        <v>Yes</v>
      </c>
      <c r="T211" s="47">
        <f>ROUND(INDEX(Summary!H:H,MATCH(H:H,Summary!A:A,0)),2)</f>
        <v>0.35</v>
      </c>
      <c r="U211" s="47">
        <f>ROUND(INDEX(Summary!I:I,MATCH(H:H,Summary!A:A,0)),2)</f>
        <v>0.92</v>
      </c>
      <c r="V211" s="81">
        <f t="shared" si="68"/>
        <v>0</v>
      </c>
      <c r="W211" s="81">
        <f t="shared" si="68"/>
        <v>569.23261794409916</v>
      </c>
      <c r="X211" s="45">
        <f t="shared" si="69"/>
        <v>569.23261794409916</v>
      </c>
      <c r="Y211" s="45" t="s">
        <v>2752</v>
      </c>
      <c r="Z211" s="45" t="str">
        <f t="shared" si="70"/>
        <v>No</v>
      </c>
      <c r="AA211" s="45" t="str">
        <f t="shared" si="70"/>
        <v>Yes</v>
      </c>
      <c r="AB211" s="45" t="str">
        <f t="shared" si="71"/>
        <v>Yes</v>
      </c>
      <c r="AC211" s="82">
        <f t="shared" si="72"/>
        <v>0</v>
      </c>
      <c r="AD211" s="82">
        <f t="shared" si="72"/>
        <v>1.75</v>
      </c>
      <c r="AE211" s="45">
        <f t="shared" si="73"/>
        <v>0</v>
      </c>
      <c r="AF211" s="45">
        <f t="shared" si="73"/>
        <v>1082.7794363067103</v>
      </c>
      <c r="AG211" s="45">
        <f t="shared" si="74"/>
        <v>1082.7794363067103</v>
      </c>
      <c r="AH211" s="47">
        <f>IFERROR(ROUNDDOWN(INDEX('90% of ACR'!K:K,MATCH(H:H,'90% of ACR'!A:A,0))*IF(I211&gt;0,IF(O211&gt;0,$R$4*MAX(O211-V211,0),0),0)/I211,2),0)</f>
        <v>0</v>
      </c>
      <c r="AI211" s="82">
        <f>IFERROR(ROUNDDOWN(INDEX('90% of ACR'!R:R,MATCH(H:H,'90% of ACR'!A:A,0))*IF(J211&gt;0,IF(P211&gt;0,$R$4*MAX(P211-W211,0),0),0)/J211,2),0)</f>
        <v>0.75</v>
      </c>
      <c r="AJ211" s="45">
        <f t="shared" si="75"/>
        <v>0</v>
      </c>
      <c r="AK211" s="45">
        <f t="shared" si="75"/>
        <v>464.04832984573301</v>
      </c>
      <c r="AL211" s="47">
        <f t="shared" si="76"/>
        <v>0.35</v>
      </c>
      <c r="AM211" s="47">
        <f t="shared" si="76"/>
        <v>1.67</v>
      </c>
      <c r="AN211" s="83">
        <f>IFERROR(INDEX('Fee Calc'!P:P,MATCH(C211,'Fee Calc'!F:F,0)),0)</f>
        <v>1033.2809477898322</v>
      </c>
      <c r="AO211" s="83">
        <f>IFERROR(INDEX('Fee Calc'!Q:Q,MATCH(C211,'Fee Calc'!F:F,0)),0)</f>
        <v>63.038360209989762</v>
      </c>
      <c r="AP211" s="83">
        <f t="shared" si="77"/>
        <v>1096.3193079998221</v>
      </c>
      <c r="AQ211" s="70">
        <f t="shared" si="78"/>
        <v>468.16342673378</v>
      </c>
      <c r="AR211" s="70">
        <f t="shared" si="79"/>
        <v>234.08171336689</v>
      </c>
      <c r="AS211" s="70">
        <f t="shared" si="80"/>
        <v>234.08171336689</v>
      </c>
    </row>
    <row r="212" spans="1:45">
      <c r="A212" s="104" t="s">
        <v>1416</v>
      </c>
      <c r="B212" s="124" t="s">
        <v>1416</v>
      </c>
      <c r="C212" s="31" t="s">
        <v>1417</v>
      </c>
      <c r="D212" s="125" t="s">
        <v>1417</v>
      </c>
      <c r="E212" s="119" t="s">
        <v>2632</v>
      </c>
      <c r="F212" s="100" t="s">
        <v>2279</v>
      </c>
      <c r="G212" s="100" t="s">
        <v>1202</v>
      </c>
      <c r="H212" s="43" t="str">
        <f t="shared" si="63"/>
        <v>Urban Travis</v>
      </c>
      <c r="I212" s="45">
        <f>INDEX('Fee Calc'!M:M,MATCH(C:C,'Fee Calc'!F:F,0))</f>
        <v>192233.67130937357</v>
      </c>
      <c r="J212" s="45">
        <f>INDEX('Fee Calc'!L:L,MATCH(C:C,'Fee Calc'!F:F,0))</f>
        <v>0</v>
      </c>
      <c r="K212" s="45">
        <f t="shared" si="64"/>
        <v>192233.67130937357</v>
      </c>
      <c r="L212" s="45">
        <v>222598.79</v>
      </c>
      <c r="M212" s="45">
        <v>0</v>
      </c>
      <c r="N212" s="45">
        <f t="shared" si="65"/>
        <v>222598.79</v>
      </c>
      <c r="O212" s="45">
        <v>91676.462289102012</v>
      </c>
      <c r="P212" s="45">
        <v>0</v>
      </c>
      <c r="Q212" s="45">
        <f t="shared" si="66"/>
        <v>91676.462289102012</v>
      </c>
      <c r="R212" s="45" t="str">
        <f t="shared" si="67"/>
        <v>Yes</v>
      </c>
      <c r="S212" s="46" t="str">
        <f t="shared" si="67"/>
        <v>No</v>
      </c>
      <c r="T212" s="47">
        <f>ROUND(INDEX(Summary!H:H,MATCH(H:H,Summary!A:A,0)),2)</f>
        <v>0.35</v>
      </c>
      <c r="U212" s="47">
        <f>ROUND(INDEX(Summary!I:I,MATCH(H:H,Summary!A:A,0)),2)</f>
        <v>0.92</v>
      </c>
      <c r="V212" s="81">
        <f t="shared" si="68"/>
        <v>67281.784958280754</v>
      </c>
      <c r="W212" s="81">
        <f t="shared" si="68"/>
        <v>0</v>
      </c>
      <c r="X212" s="45">
        <f t="shared" si="69"/>
        <v>67281.784958280754</v>
      </c>
      <c r="Y212" s="45" t="s">
        <v>2752</v>
      </c>
      <c r="Z212" s="45" t="str">
        <f t="shared" si="70"/>
        <v>Yes</v>
      </c>
      <c r="AA212" s="45" t="str">
        <f t="shared" si="70"/>
        <v>No</v>
      </c>
      <c r="AB212" s="45" t="str">
        <f t="shared" si="71"/>
        <v>Yes</v>
      </c>
      <c r="AC212" s="82">
        <f t="shared" si="72"/>
        <v>0.09</v>
      </c>
      <c r="AD212" s="82">
        <f t="shared" si="72"/>
        <v>0</v>
      </c>
      <c r="AE212" s="45">
        <f t="shared" si="73"/>
        <v>17301.03041784362</v>
      </c>
      <c r="AF212" s="45">
        <f t="shared" si="73"/>
        <v>0</v>
      </c>
      <c r="AG212" s="45">
        <f t="shared" si="74"/>
        <v>17301.03041784362</v>
      </c>
      <c r="AH212" s="47">
        <f>IFERROR(ROUNDDOWN(INDEX('90% of ACR'!K:K,MATCH(H:H,'90% of ACR'!A:A,0))*IF(I212&gt;0,IF(O212&gt;0,$R$4*MAX(O212-V212,0),0),0)/I212,2),0)</f>
        <v>0.08</v>
      </c>
      <c r="AI212" s="82">
        <f>IFERROR(ROUNDDOWN(INDEX('90% of ACR'!R:R,MATCH(H:H,'90% of ACR'!A:A,0))*IF(J212&gt;0,IF(P212&gt;0,$R$4*MAX(P212-W212,0),0),0)/J212,2),0)</f>
        <v>0</v>
      </c>
      <c r="AJ212" s="45">
        <f t="shared" si="75"/>
        <v>15378.693704749887</v>
      </c>
      <c r="AK212" s="45">
        <f t="shared" si="75"/>
        <v>0</v>
      </c>
      <c r="AL212" s="47">
        <f t="shared" si="76"/>
        <v>0.43</v>
      </c>
      <c r="AM212" s="47">
        <f t="shared" si="76"/>
        <v>0.92</v>
      </c>
      <c r="AN212" s="83">
        <f>IFERROR(INDEX('Fee Calc'!P:P,MATCH(C212,'Fee Calc'!F:F,0)),0)</f>
        <v>82660.478663030633</v>
      </c>
      <c r="AO212" s="83">
        <f>IFERROR(INDEX('Fee Calc'!Q:Q,MATCH(C212,'Fee Calc'!F:F,0)),0)</f>
        <v>5149.0135272253556</v>
      </c>
      <c r="AP212" s="83">
        <f t="shared" si="77"/>
        <v>87809.492190255987</v>
      </c>
      <c r="AQ212" s="70">
        <f t="shared" si="78"/>
        <v>37497.463068989397</v>
      </c>
      <c r="AR212" s="70">
        <f t="shared" si="79"/>
        <v>18748.731534494698</v>
      </c>
      <c r="AS212" s="70">
        <f t="shared" si="80"/>
        <v>18748.731534494698</v>
      </c>
    </row>
    <row r="213" spans="1:45">
      <c r="A213" s="104" t="s">
        <v>1511</v>
      </c>
      <c r="B213" s="124" t="s">
        <v>1511</v>
      </c>
      <c r="C213" s="31" t="s">
        <v>1512</v>
      </c>
      <c r="D213" s="125" t="s">
        <v>1512</v>
      </c>
      <c r="E213" s="119" t="s">
        <v>2633</v>
      </c>
      <c r="F213" s="100" t="s">
        <v>2279</v>
      </c>
      <c r="G213" s="100" t="s">
        <v>1486</v>
      </c>
      <c r="H213" s="43" t="str">
        <f t="shared" si="63"/>
        <v>Urban MRSA Central</v>
      </c>
      <c r="I213" s="45">
        <f>INDEX('Fee Calc'!M:M,MATCH(C:C,'Fee Calc'!F:F,0))</f>
        <v>288519.51572641236</v>
      </c>
      <c r="J213" s="45">
        <f>INDEX('Fee Calc'!L:L,MATCH(C:C,'Fee Calc'!F:F,0))</f>
        <v>0</v>
      </c>
      <c r="K213" s="45">
        <f t="shared" si="64"/>
        <v>288519.51572641236</v>
      </c>
      <c r="L213" s="45">
        <v>167261.37</v>
      </c>
      <c r="M213" s="45">
        <v>0</v>
      </c>
      <c r="N213" s="45">
        <f t="shared" si="65"/>
        <v>167261.37</v>
      </c>
      <c r="O213" s="45">
        <v>29256.650531063322</v>
      </c>
      <c r="P213" s="45">
        <v>0</v>
      </c>
      <c r="Q213" s="45">
        <f t="shared" si="66"/>
        <v>29256.650531063322</v>
      </c>
      <c r="R213" s="45" t="str">
        <f t="shared" si="67"/>
        <v>Yes</v>
      </c>
      <c r="S213" s="46" t="str">
        <f t="shared" si="67"/>
        <v>No</v>
      </c>
      <c r="T213" s="47">
        <f>ROUND(INDEX(Summary!H:H,MATCH(H:H,Summary!A:A,0)),2)</f>
        <v>0.43</v>
      </c>
      <c r="U213" s="47">
        <f>ROUND(INDEX(Summary!I:I,MATCH(H:H,Summary!A:A,0)),2)</f>
        <v>0.92</v>
      </c>
      <c r="V213" s="81">
        <f t="shared" si="68"/>
        <v>124063.39176235731</v>
      </c>
      <c r="W213" s="81">
        <f t="shared" si="68"/>
        <v>0</v>
      </c>
      <c r="X213" s="45">
        <f t="shared" si="69"/>
        <v>124063.39176235731</v>
      </c>
      <c r="Y213" s="45" t="s">
        <v>2752</v>
      </c>
      <c r="Z213" s="45" t="str">
        <f t="shared" si="70"/>
        <v>No</v>
      </c>
      <c r="AA213" s="45" t="str">
        <f t="shared" si="70"/>
        <v>No</v>
      </c>
      <c r="AB213" s="45" t="str">
        <f t="shared" si="71"/>
        <v>No</v>
      </c>
      <c r="AC213" s="82">
        <f t="shared" si="72"/>
        <v>0</v>
      </c>
      <c r="AD213" s="82">
        <f t="shared" si="72"/>
        <v>0</v>
      </c>
      <c r="AE213" s="45">
        <f t="shared" si="73"/>
        <v>0</v>
      </c>
      <c r="AF213" s="45">
        <f t="shared" si="73"/>
        <v>0</v>
      </c>
      <c r="AG213" s="45">
        <f t="shared" si="74"/>
        <v>0</v>
      </c>
      <c r="AH213" s="47">
        <f>IFERROR(ROUNDDOWN(INDEX('90% of ACR'!K:K,MATCH(H:H,'90% of ACR'!A:A,0))*IF(I213&gt;0,IF(O213&gt;0,$R$4*MAX(O213-V213,0),0),0)/I213,2),0)</f>
        <v>0</v>
      </c>
      <c r="AI213" s="82">
        <f>IFERROR(ROUNDDOWN(INDEX('90% of ACR'!R:R,MATCH(H:H,'90% of ACR'!A:A,0))*IF(J213&gt;0,IF(P213&gt;0,$R$4*MAX(P213-W213,0),0),0)/J213,2),0)</f>
        <v>0</v>
      </c>
      <c r="AJ213" s="45">
        <f t="shared" si="75"/>
        <v>0</v>
      </c>
      <c r="AK213" s="45">
        <f t="shared" si="75"/>
        <v>0</v>
      </c>
      <c r="AL213" s="47">
        <f t="shared" si="76"/>
        <v>0.43</v>
      </c>
      <c r="AM213" s="47">
        <f t="shared" si="76"/>
        <v>0.92</v>
      </c>
      <c r="AN213" s="83">
        <f>IFERROR(INDEX('Fee Calc'!P:P,MATCH(C213,'Fee Calc'!F:F,0)),0)</f>
        <v>124063.39176235731</v>
      </c>
      <c r="AO213" s="83">
        <f>IFERROR(INDEX('Fee Calc'!Q:Q,MATCH(C213,'Fee Calc'!F:F,0)),0)</f>
        <v>7835.1632089462073</v>
      </c>
      <c r="AP213" s="83">
        <f t="shared" si="77"/>
        <v>131898.5549713035</v>
      </c>
      <c r="AQ213" s="70">
        <f t="shared" si="78"/>
        <v>56324.903726505676</v>
      </c>
      <c r="AR213" s="70">
        <f t="shared" si="79"/>
        <v>28162.451863252838</v>
      </c>
      <c r="AS213" s="70">
        <f t="shared" si="80"/>
        <v>28162.451863252838</v>
      </c>
    </row>
    <row r="214" spans="1:45">
      <c r="A214" s="104" t="s">
        <v>1059</v>
      </c>
      <c r="B214" s="124" t="s">
        <v>1059</v>
      </c>
      <c r="C214" s="31" t="s">
        <v>1060</v>
      </c>
      <c r="D214" s="125" t="s">
        <v>1060</v>
      </c>
      <c r="E214" s="119" t="s">
        <v>2428</v>
      </c>
      <c r="F214" s="100" t="s">
        <v>2279</v>
      </c>
      <c r="G214" s="100" t="s">
        <v>1202</v>
      </c>
      <c r="H214" s="43" t="str">
        <f t="shared" si="63"/>
        <v>Urban Travis</v>
      </c>
      <c r="I214" s="45">
        <f>INDEX('Fee Calc'!M:M,MATCH(C:C,'Fee Calc'!F:F,0))</f>
        <v>4713176.5528942067</v>
      </c>
      <c r="J214" s="45">
        <f>INDEX('Fee Calc'!L:L,MATCH(C:C,'Fee Calc'!F:F,0))</f>
        <v>1124140.6113553459</v>
      </c>
      <c r="K214" s="45">
        <f t="shared" si="64"/>
        <v>5837317.1642495524</v>
      </c>
      <c r="L214" s="45">
        <v>1325119.48</v>
      </c>
      <c r="M214" s="45">
        <v>1370948.29</v>
      </c>
      <c r="N214" s="45">
        <f t="shared" si="65"/>
        <v>2696067.77</v>
      </c>
      <c r="O214" s="45">
        <v>6375971.6047424134</v>
      </c>
      <c r="P214" s="45">
        <v>1753104.6363712195</v>
      </c>
      <c r="Q214" s="45">
        <f t="shared" si="66"/>
        <v>8129076.2411136329</v>
      </c>
      <c r="R214" s="45" t="str">
        <f t="shared" si="67"/>
        <v>Yes</v>
      </c>
      <c r="S214" s="46" t="str">
        <f t="shared" si="67"/>
        <v>Yes</v>
      </c>
      <c r="T214" s="47">
        <f>ROUND(INDEX(Summary!H:H,MATCH(H:H,Summary!A:A,0)),2)</f>
        <v>0.35</v>
      </c>
      <c r="U214" s="47">
        <f>ROUND(INDEX(Summary!I:I,MATCH(H:H,Summary!A:A,0)),2)</f>
        <v>0.92</v>
      </c>
      <c r="V214" s="81">
        <f t="shared" si="68"/>
        <v>1649611.7935129723</v>
      </c>
      <c r="W214" s="81">
        <f t="shared" si="68"/>
        <v>1034209.3624469183</v>
      </c>
      <c r="X214" s="45">
        <f t="shared" si="69"/>
        <v>2683821.1559598907</v>
      </c>
      <c r="Y214" s="45" t="s">
        <v>2752</v>
      </c>
      <c r="Z214" s="45" t="str">
        <f t="shared" si="70"/>
        <v>Yes</v>
      </c>
      <c r="AA214" s="45" t="str">
        <f t="shared" si="70"/>
        <v>Yes</v>
      </c>
      <c r="AB214" s="45" t="str">
        <f t="shared" si="71"/>
        <v>Yes</v>
      </c>
      <c r="AC214" s="82">
        <f t="shared" si="72"/>
        <v>0.7</v>
      </c>
      <c r="AD214" s="82">
        <f t="shared" si="72"/>
        <v>0.45</v>
      </c>
      <c r="AE214" s="45">
        <f t="shared" si="73"/>
        <v>3299223.5870259446</v>
      </c>
      <c r="AF214" s="45">
        <f t="shared" si="73"/>
        <v>505863.27510990569</v>
      </c>
      <c r="AG214" s="45">
        <f t="shared" si="74"/>
        <v>3805086.8621358504</v>
      </c>
      <c r="AH214" s="47">
        <f>IFERROR(ROUNDDOWN(INDEX('90% of ACR'!K:K,MATCH(H:H,'90% of ACR'!A:A,0))*IF(I214&gt;0,IF(O214&gt;0,$R$4*MAX(O214-V214,0),0),0)/I214,2),0)</f>
        <v>0.69</v>
      </c>
      <c r="AI214" s="82">
        <f>IFERROR(ROUNDDOWN(INDEX('90% of ACR'!R:R,MATCH(H:H,'90% of ACR'!A:A,0))*IF(J214&gt;0,IF(P214&gt;0,$R$4*MAX(P214-W214,0),0),0)/J214,2),0)</f>
        <v>0.19</v>
      </c>
      <c r="AJ214" s="45">
        <f t="shared" si="75"/>
        <v>3252091.8214970026</v>
      </c>
      <c r="AK214" s="45">
        <f t="shared" si="75"/>
        <v>213586.71615751574</v>
      </c>
      <c r="AL214" s="47">
        <f t="shared" si="76"/>
        <v>1.04</v>
      </c>
      <c r="AM214" s="47">
        <f t="shared" si="76"/>
        <v>1.1100000000000001</v>
      </c>
      <c r="AN214" s="83">
        <f>IFERROR(INDEX('Fee Calc'!P:P,MATCH(C214,'Fee Calc'!F:F,0)),0)</f>
        <v>6149499.6936144084</v>
      </c>
      <c r="AO214" s="83">
        <f>IFERROR(INDEX('Fee Calc'!Q:Q,MATCH(C214,'Fee Calc'!F:F,0)),0)</f>
        <v>379223.04189397022</v>
      </c>
      <c r="AP214" s="83">
        <f t="shared" si="77"/>
        <v>6528722.7355083786</v>
      </c>
      <c r="AQ214" s="70">
        <f t="shared" si="78"/>
        <v>2787973.5271896138</v>
      </c>
      <c r="AR214" s="70">
        <f t="shared" si="79"/>
        <v>1393986.7635948069</v>
      </c>
      <c r="AS214" s="70">
        <f t="shared" si="80"/>
        <v>1393986.7635948069</v>
      </c>
    </row>
    <row r="215" spans="1:45">
      <c r="A215" s="104" t="s">
        <v>1410</v>
      </c>
      <c r="B215" s="124" t="s">
        <v>1410</v>
      </c>
      <c r="C215" s="31" t="s">
        <v>1411</v>
      </c>
      <c r="D215" s="125" t="s">
        <v>1411</v>
      </c>
      <c r="E215" s="119" t="s">
        <v>2634</v>
      </c>
      <c r="F215" s="100" t="s">
        <v>2279</v>
      </c>
      <c r="G215" s="100" t="s">
        <v>1365</v>
      </c>
      <c r="H215" s="43" t="str">
        <f t="shared" si="63"/>
        <v>Urban Tarrant</v>
      </c>
      <c r="I215" s="45">
        <f>INDEX('Fee Calc'!M:M,MATCH(C:C,'Fee Calc'!F:F,0))</f>
        <v>0</v>
      </c>
      <c r="J215" s="45">
        <f>INDEX('Fee Calc'!L:L,MATCH(C:C,'Fee Calc'!F:F,0))</f>
        <v>0</v>
      </c>
      <c r="K215" s="45">
        <f t="shared" si="64"/>
        <v>0</v>
      </c>
      <c r="L215" s="45">
        <v>128185.34</v>
      </c>
      <c r="M215" s="45">
        <v>0</v>
      </c>
      <c r="N215" s="45">
        <f t="shared" si="65"/>
        <v>128185.34</v>
      </c>
      <c r="O215" s="45">
        <v>65483.473480417284</v>
      </c>
      <c r="P215" s="45">
        <v>0</v>
      </c>
      <c r="Q215" s="45">
        <f t="shared" si="66"/>
        <v>65483.473480417284</v>
      </c>
      <c r="R215" s="45" t="str">
        <f t="shared" si="67"/>
        <v>Yes</v>
      </c>
      <c r="S215" s="46" t="str">
        <f t="shared" si="67"/>
        <v>No</v>
      </c>
      <c r="T215" s="47">
        <f>ROUND(INDEX(Summary!H:H,MATCH(H:H,Summary!A:A,0)),2)</f>
        <v>0.74</v>
      </c>
      <c r="U215" s="47">
        <f>ROUND(INDEX(Summary!I:I,MATCH(H:H,Summary!A:A,0)),2)</f>
        <v>0.49</v>
      </c>
      <c r="V215" s="81">
        <f t="shared" si="68"/>
        <v>0</v>
      </c>
      <c r="W215" s="81">
        <f t="shared" si="68"/>
        <v>0</v>
      </c>
      <c r="X215" s="45">
        <f t="shared" si="69"/>
        <v>0</v>
      </c>
      <c r="Y215" s="45" t="s">
        <v>2752</v>
      </c>
      <c r="Z215" s="45" t="str">
        <f t="shared" si="70"/>
        <v>No</v>
      </c>
      <c r="AA215" s="45" t="str">
        <f t="shared" si="70"/>
        <v>No</v>
      </c>
      <c r="AB215" s="45" t="str">
        <f t="shared" si="71"/>
        <v>No</v>
      </c>
      <c r="AC215" s="82">
        <f t="shared" si="72"/>
        <v>0</v>
      </c>
      <c r="AD215" s="82">
        <f t="shared" si="72"/>
        <v>0</v>
      </c>
      <c r="AE215" s="45">
        <f t="shared" si="73"/>
        <v>0</v>
      </c>
      <c r="AF215" s="45">
        <f t="shared" si="73"/>
        <v>0</v>
      </c>
      <c r="AG215" s="45">
        <f t="shared" si="74"/>
        <v>0</v>
      </c>
      <c r="AH215" s="47">
        <f>IFERROR(ROUNDDOWN(INDEX('90% of ACR'!K:K,MATCH(H:H,'90% of ACR'!A:A,0))*IF(I215&gt;0,IF(O215&gt;0,$R$4*MAX(O215-V215,0),0),0)/I215,2),0)</f>
        <v>0</v>
      </c>
      <c r="AI215" s="82">
        <f>IFERROR(ROUNDDOWN(INDEX('90% of ACR'!R:R,MATCH(H:H,'90% of ACR'!A:A,0))*IF(J215&gt;0,IF(P215&gt;0,$R$4*MAX(P215-W215,0),0),0)/J215,2),0)</f>
        <v>0</v>
      </c>
      <c r="AJ215" s="45">
        <f t="shared" si="75"/>
        <v>0</v>
      </c>
      <c r="AK215" s="45">
        <f t="shared" si="75"/>
        <v>0</v>
      </c>
      <c r="AL215" s="47">
        <f t="shared" si="76"/>
        <v>0.74</v>
      </c>
      <c r="AM215" s="47">
        <f t="shared" si="76"/>
        <v>0.49</v>
      </c>
      <c r="AN215" s="83">
        <f>IFERROR(INDEX('Fee Calc'!P:P,MATCH(C215,'Fee Calc'!F:F,0)),0)</f>
        <v>0</v>
      </c>
      <c r="AO215" s="83">
        <f>IFERROR(INDEX('Fee Calc'!Q:Q,MATCH(C215,'Fee Calc'!F:F,0)),0)</f>
        <v>0</v>
      </c>
      <c r="AP215" s="83">
        <f t="shared" si="77"/>
        <v>0</v>
      </c>
      <c r="AQ215" s="70">
        <f t="shared" si="78"/>
        <v>0</v>
      </c>
      <c r="AR215" s="70">
        <f t="shared" si="79"/>
        <v>0</v>
      </c>
      <c r="AS215" s="70">
        <f t="shared" si="80"/>
        <v>0</v>
      </c>
    </row>
    <row r="216" spans="1:45">
      <c r="A216" s="104" t="s">
        <v>1434</v>
      </c>
      <c r="B216" s="124" t="s">
        <v>1434</v>
      </c>
      <c r="C216" s="31" t="s">
        <v>1435</v>
      </c>
      <c r="D216" s="125" t="s">
        <v>1435</v>
      </c>
      <c r="E216" s="119" t="s">
        <v>2635</v>
      </c>
      <c r="F216" s="100" t="s">
        <v>2279</v>
      </c>
      <c r="G216" s="100" t="s">
        <v>300</v>
      </c>
      <c r="H216" s="43" t="str">
        <f t="shared" si="63"/>
        <v>Urban Harris</v>
      </c>
      <c r="I216" s="45">
        <f>INDEX('Fee Calc'!M:M,MATCH(C:C,'Fee Calc'!F:F,0))</f>
        <v>0</v>
      </c>
      <c r="J216" s="45">
        <f>INDEX('Fee Calc'!L:L,MATCH(C:C,'Fee Calc'!F:F,0))</f>
        <v>0</v>
      </c>
      <c r="K216" s="45">
        <f t="shared" si="64"/>
        <v>0</v>
      </c>
      <c r="L216" s="45">
        <v>84764.59</v>
      </c>
      <c r="M216" s="45">
        <v>0</v>
      </c>
      <c r="N216" s="45">
        <f t="shared" si="65"/>
        <v>84764.59</v>
      </c>
      <c r="O216" s="45">
        <v>54857.363114222433</v>
      </c>
      <c r="P216" s="45">
        <v>0</v>
      </c>
      <c r="Q216" s="45">
        <f t="shared" si="66"/>
        <v>54857.363114222433</v>
      </c>
      <c r="R216" s="45" t="str">
        <f t="shared" si="67"/>
        <v>Yes</v>
      </c>
      <c r="S216" s="46" t="str">
        <f t="shared" si="67"/>
        <v>No</v>
      </c>
      <c r="T216" s="47">
        <f>ROUND(INDEX(Summary!H:H,MATCH(H:H,Summary!A:A,0)),2)</f>
        <v>1.57</v>
      </c>
      <c r="U216" s="47">
        <f>ROUND(INDEX(Summary!I:I,MATCH(H:H,Summary!A:A,0)),2)</f>
        <v>0.3</v>
      </c>
      <c r="V216" s="81">
        <f t="shared" si="68"/>
        <v>0</v>
      </c>
      <c r="W216" s="81">
        <f t="shared" si="68"/>
        <v>0</v>
      </c>
      <c r="X216" s="45">
        <f t="shared" si="69"/>
        <v>0</v>
      </c>
      <c r="Y216" s="45" t="s">
        <v>2752</v>
      </c>
      <c r="Z216" s="45" t="str">
        <f t="shared" si="70"/>
        <v>No</v>
      </c>
      <c r="AA216" s="45" t="str">
        <f t="shared" si="70"/>
        <v>No</v>
      </c>
      <c r="AB216" s="45" t="str">
        <f t="shared" si="71"/>
        <v>No</v>
      </c>
      <c r="AC216" s="82">
        <f t="shared" si="72"/>
        <v>0</v>
      </c>
      <c r="AD216" s="82">
        <f t="shared" si="72"/>
        <v>0</v>
      </c>
      <c r="AE216" s="45">
        <f t="shared" si="73"/>
        <v>0</v>
      </c>
      <c r="AF216" s="45">
        <f t="shared" si="73"/>
        <v>0</v>
      </c>
      <c r="AG216" s="45">
        <f t="shared" si="74"/>
        <v>0</v>
      </c>
      <c r="AH216" s="47">
        <f>IFERROR(ROUNDDOWN(INDEX('90% of ACR'!K:K,MATCH(H:H,'90% of ACR'!A:A,0))*IF(I216&gt;0,IF(O216&gt;0,$R$4*MAX(O216-V216,0),0),0)/I216,2),0)</f>
        <v>0</v>
      </c>
      <c r="AI216" s="82">
        <f>IFERROR(ROUNDDOWN(INDEX('90% of ACR'!R:R,MATCH(H:H,'90% of ACR'!A:A,0))*IF(J216&gt;0,IF(P216&gt;0,$R$4*MAX(P216-W216,0),0),0)/J216,2),0)</f>
        <v>0</v>
      </c>
      <c r="AJ216" s="45">
        <f t="shared" si="75"/>
        <v>0</v>
      </c>
      <c r="AK216" s="45">
        <f t="shared" si="75"/>
        <v>0</v>
      </c>
      <c r="AL216" s="47">
        <f t="shared" si="76"/>
        <v>1.57</v>
      </c>
      <c r="AM216" s="47">
        <f t="shared" si="76"/>
        <v>0.3</v>
      </c>
      <c r="AN216" s="83">
        <f>IFERROR(INDEX('Fee Calc'!P:P,MATCH(C216,'Fee Calc'!F:F,0)),0)</f>
        <v>0</v>
      </c>
      <c r="AO216" s="83">
        <f>IFERROR(INDEX('Fee Calc'!Q:Q,MATCH(C216,'Fee Calc'!F:F,0)),0)</f>
        <v>0</v>
      </c>
      <c r="AP216" s="83">
        <f t="shared" si="77"/>
        <v>0</v>
      </c>
      <c r="AQ216" s="70">
        <f t="shared" si="78"/>
        <v>0</v>
      </c>
      <c r="AR216" s="70">
        <f t="shared" si="79"/>
        <v>0</v>
      </c>
      <c r="AS216" s="70">
        <f t="shared" si="80"/>
        <v>0</v>
      </c>
    </row>
    <row r="217" spans="1:45">
      <c r="A217" s="104" t="s">
        <v>1056</v>
      </c>
      <c r="B217" s="124" t="s">
        <v>1056</v>
      </c>
      <c r="C217" s="31" t="s">
        <v>1057</v>
      </c>
      <c r="D217" s="125" t="s">
        <v>1057</v>
      </c>
      <c r="E217" s="119" t="s">
        <v>2430</v>
      </c>
      <c r="F217" s="100" t="s">
        <v>2279</v>
      </c>
      <c r="G217" s="100" t="s">
        <v>1202</v>
      </c>
      <c r="H217" s="43" t="str">
        <f t="shared" si="63"/>
        <v>Urban Travis</v>
      </c>
      <c r="I217" s="45">
        <f>INDEX('Fee Calc'!M:M,MATCH(C:C,'Fee Calc'!F:F,0))</f>
        <v>31679512.047701575</v>
      </c>
      <c r="J217" s="45">
        <f>INDEX('Fee Calc'!L:L,MATCH(C:C,'Fee Calc'!F:F,0))</f>
        <v>3805559.7251880658</v>
      </c>
      <c r="K217" s="45">
        <f t="shared" si="64"/>
        <v>35485071.772889644</v>
      </c>
      <c r="L217" s="45">
        <v>4534574.09</v>
      </c>
      <c r="M217" s="45">
        <v>4830507.22</v>
      </c>
      <c r="N217" s="45">
        <f t="shared" si="65"/>
        <v>9365081.3099999987</v>
      </c>
      <c r="O217" s="45">
        <v>42425183.381460175</v>
      </c>
      <c r="P217" s="45">
        <v>6764908.4745965125</v>
      </c>
      <c r="Q217" s="45">
        <f t="shared" si="66"/>
        <v>49190091.85605669</v>
      </c>
      <c r="R217" s="45" t="str">
        <f t="shared" si="67"/>
        <v>Yes</v>
      </c>
      <c r="S217" s="46" t="str">
        <f t="shared" si="67"/>
        <v>Yes</v>
      </c>
      <c r="T217" s="47">
        <f>ROUND(INDEX(Summary!H:H,MATCH(H:H,Summary!A:A,0)),2)</f>
        <v>0.35</v>
      </c>
      <c r="U217" s="47">
        <f>ROUND(INDEX(Summary!I:I,MATCH(H:H,Summary!A:A,0)),2)</f>
        <v>0.92</v>
      </c>
      <c r="V217" s="81">
        <f t="shared" si="68"/>
        <v>11087829.216695551</v>
      </c>
      <c r="W217" s="81">
        <f t="shared" si="68"/>
        <v>3501114.9471730208</v>
      </c>
      <c r="X217" s="45">
        <f t="shared" si="69"/>
        <v>14588944.163868573</v>
      </c>
      <c r="Y217" s="45" t="s">
        <v>2752</v>
      </c>
      <c r="Z217" s="45" t="str">
        <f t="shared" si="70"/>
        <v>Yes</v>
      </c>
      <c r="AA217" s="45" t="str">
        <f t="shared" si="70"/>
        <v>Yes</v>
      </c>
      <c r="AB217" s="45" t="str">
        <f t="shared" si="71"/>
        <v>Yes</v>
      </c>
      <c r="AC217" s="82">
        <f t="shared" si="72"/>
        <v>0.69</v>
      </c>
      <c r="AD217" s="82">
        <f t="shared" si="72"/>
        <v>0.6</v>
      </c>
      <c r="AE217" s="45">
        <f t="shared" si="73"/>
        <v>21858863.312914085</v>
      </c>
      <c r="AF217" s="45">
        <f t="shared" si="73"/>
        <v>2283335.8351128395</v>
      </c>
      <c r="AG217" s="45">
        <f t="shared" si="74"/>
        <v>24142199.148026925</v>
      </c>
      <c r="AH217" s="47">
        <f>IFERROR(ROUNDDOWN(INDEX('90% of ACR'!K:K,MATCH(H:H,'90% of ACR'!A:A,0))*IF(I217&gt;0,IF(O217&gt;0,$R$4*MAX(O217-V217,0),0),0)/I217,2),0)</f>
        <v>0.68</v>
      </c>
      <c r="AI217" s="82">
        <f>IFERROR(ROUNDDOWN(INDEX('90% of ACR'!R:R,MATCH(H:H,'90% of ACR'!A:A,0))*IF(J217&gt;0,IF(P217&gt;0,$R$4*MAX(P217-W217,0),0),0)/J217,2),0)</f>
        <v>0.25</v>
      </c>
      <c r="AJ217" s="45">
        <f t="shared" si="75"/>
        <v>21542068.192437071</v>
      </c>
      <c r="AK217" s="45">
        <f t="shared" si="75"/>
        <v>951389.93129701645</v>
      </c>
      <c r="AL217" s="47">
        <f t="shared" si="76"/>
        <v>1.03</v>
      </c>
      <c r="AM217" s="47">
        <f t="shared" si="76"/>
        <v>1.17</v>
      </c>
      <c r="AN217" s="83">
        <f>IFERROR(INDEX('Fee Calc'!P:P,MATCH(C217,'Fee Calc'!F:F,0)),0)</f>
        <v>37082402.287602663</v>
      </c>
      <c r="AO217" s="83">
        <f>IFERROR(INDEX('Fee Calc'!Q:Q,MATCH(C217,'Fee Calc'!F:F,0)),0)</f>
        <v>2282667.7624010639</v>
      </c>
      <c r="AP217" s="83">
        <f t="shared" si="77"/>
        <v>39365070.05000373</v>
      </c>
      <c r="AQ217" s="70">
        <f t="shared" si="78"/>
        <v>16810144.593593191</v>
      </c>
      <c r="AR217" s="70">
        <f t="shared" si="79"/>
        <v>8405072.2967965957</v>
      </c>
      <c r="AS217" s="70">
        <f t="shared" si="80"/>
        <v>8405072.2967965957</v>
      </c>
    </row>
    <row r="218" spans="1:45">
      <c r="A218" s="104" t="s">
        <v>732</v>
      </c>
      <c r="B218" s="124" t="s">
        <v>732</v>
      </c>
      <c r="C218" s="31" t="s">
        <v>733</v>
      </c>
      <c r="D218" s="125" t="s">
        <v>733</v>
      </c>
      <c r="E218" s="119" t="s">
        <v>2389</v>
      </c>
      <c r="F218" s="100" t="s">
        <v>2291</v>
      </c>
      <c r="G218" s="100" t="s">
        <v>227</v>
      </c>
      <c r="H218" s="43" t="str">
        <f t="shared" si="63"/>
        <v>Rural MRSA West</v>
      </c>
      <c r="I218" s="45">
        <f>INDEX('Fee Calc'!M:M,MATCH(C:C,'Fee Calc'!F:F,0))</f>
        <v>16357.564635527253</v>
      </c>
      <c r="J218" s="45">
        <f>INDEX('Fee Calc'!L:L,MATCH(C:C,'Fee Calc'!F:F,0))</f>
        <v>220974.82118458353</v>
      </c>
      <c r="K218" s="45">
        <f t="shared" si="64"/>
        <v>237332.38582011079</v>
      </c>
      <c r="L218" s="45">
        <v>24647.71</v>
      </c>
      <c r="M218" s="45">
        <v>24844.9</v>
      </c>
      <c r="N218" s="45">
        <f t="shared" si="65"/>
        <v>49492.61</v>
      </c>
      <c r="O218" s="45">
        <v>791.67013782051254</v>
      </c>
      <c r="P218" s="45">
        <v>6037.7900057644147</v>
      </c>
      <c r="Q218" s="45">
        <f t="shared" si="66"/>
        <v>6829.4601435849272</v>
      </c>
      <c r="R218" s="45" t="str">
        <f t="shared" si="67"/>
        <v>Yes</v>
      </c>
      <c r="S218" s="46" t="str">
        <f t="shared" si="67"/>
        <v>Yes</v>
      </c>
      <c r="T218" s="47">
        <f>ROUND(INDEX(Summary!H:H,MATCH(H:H,Summary!A:A,0)),2)</f>
        <v>0</v>
      </c>
      <c r="U218" s="47">
        <f>ROUND(INDEX(Summary!I:I,MATCH(H:H,Summary!A:A,0)),2)</f>
        <v>0.2</v>
      </c>
      <c r="V218" s="81">
        <f t="shared" si="68"/>
        <v>0</v>
      </c>
      <c r="W218" s="81">
        <f t="shared" si="68"/>
        <v>44194.964236916712</v>
      </c>
      <c r="X218" s="45">
        <f t="shared" si="69"/>
        <v>44194.964236916712</v>
      </c>
      <c r="Y218" s="45" t="s">
        <v>2752</v>
      </c>
      <c r="Z218" s="45" t="str">
        <f t="shared" si="70"/>
        <v>No</v>
      </c>
      <c r="AA218" s="45" t="str">
        <f t="shared" si="70"/>
        <v>No</v>
      </c>
      <c r="AB218" s="45" t="str">
        <f t="shared" si="71"/>
        <v>Yes</v>
      </c>
      <c r="AC218" s="82">
        <f t="shared" si="72"/>
        <v>0.03</v>
      </c>
      <c r="AD218" s="82">
        <f t="shared" si="72"/>
        <v>0</v>
      </c>
      <c r="AE218" s="45">
        <f t="shared" si="73"/>
        <v>490.72693906581759</v>
      </c>
      <c r="AF218" s="45">
        <f t="shared" si="73"/>
        <v>0</v>
      </c>
      <c r="AG218" s="45">
        <f t="shared" si="74"/>
        <v>490.72693906581759</v>
      </c>
      <c r="AH218" s="47">
        <f>IFERROR(ROUNDDOWN(INDEX('90% of ACR'!K:K,MATCH(H:H,'90% of ACR'!A:A,0))*IF(I218&gt;0,IF(O218&gt;0,$R$4*MAX(O218-V218,0),0),0)/I218,2),0)</f>
        <v>0</v>
      </c>
      <c r="AI218" s="82">
        <f>IFERROR(ROUNDDOWN(INDEX('90% of ACR'!R:R,MATCH(H:H,'90% of ACR'!A:A,0))*IF(J218&gt;0,IF(P218&gt;0,$R$4*MAX(P218-W218,0),0),0)/J218,2),0)</f>
        <v>0</v>
      </c>
      <c r="AJ218" s="45">
        <f t="shared" si="75"/>
        <v>0</v>
      </c>
      <c r="AK218" s="45">
        <f t="shared" si="75"/>
        <v>0</v>
      </c>
      <c r="AL218" s="47">
        <f t="shared" si="76"/>
        <v>0</v>
      </c>
      <c r="AM218" s="47">
        <f t="shared" si="76"/>
        <v>0.2</v>
      </c>
      <c r="AN218" s="83">
        <f>IFERROR(INDEX('Fee Calc'!P:P,MATCH(C218,'Fee Calc'!F:F,0)),0)</f>
        <v>44194.964236916712</v>
      </c>
      <c r="AO218" s="83">
        <f>IFERROR(INDEX('Fee Calc'!Q:Q,MATCH(C218,'Fee Calc'!F:F,0)),0)</f>
        <v>2700.2904455489561</v>
      </c>
      <c r="AP218" s="83">
        <f t="shared" si="77"/>
        <v>46895.254682465667</v>
      </c>
      <c r="AQ218" s="70">
        <f t="shared" si="78"/>
        <v>20025.77439756268</v>
      </c>
      <c r="AR218" s="70">
        <f t="shared" si="79"/>
        <v>10012.88719878134</v>
      </c>
      <c r="AS218" s="70">
        <f t="shared" si="80"/>
        <v>10012.88719878134</v>
      </c>
    </row>
    <row r="219" spans="1:45">
      <c r="A219" s="104" t="s">
        <v>1062</v>
      </c>
      <c r="B219" s="124" t="s">
        <v>1062</v>
      </c>
      <c r="C219" s="31" t="s">
        <v>1063</v>
      </c>
      <c r="D219" s="125" t="s">
        <v>1063</v>
      </c>
      <c r="E219" s="119" t="s">
        <v>2864</v>
      </c>
      <c r="F219" s="100" t="s">
        <v>2279</v>
      </c>
      <c r="G219" s="100" t="s">
        <v>1202</v>
      </c>
      <c r="H219" s="43" t="str">
        <f t="shared" si="63"/>
        <v>Urban Travis</v>
      </c>
      <c r="I219" s="45">
        <f>INDEX('Fee Calc'!M:M,MATCH(C:C,'Fee Calc'!F:F,0))</f>
        <v>13253872.992282182</v>
      </c>
      <c r="J219" s="45">
        <f>INDEX('Fee Calc'!L:L,MATCH(C:C,'Fee Calc'!F:F,0))</f>
        <v>3093391.5733326096</v>
      </c>
      <c r="K219" s="45">
        <f t="shared" si="64"/>
        <v>16347264.565614792</v>
      </c>
      <c r="L219" s="45">
        <v>4271825.8899999997</v>
      </c>
      <c r="M219" s="45">
        <v>3154583.59</v>
      </c>
      <c r="N219" s="45">
        <f t="shared" si="65"/>
        <v>7426409.4799999995</v>
      </c>
      <c r="O219" s="45">
        <v>21636422.992811359</v>
      </c>
      <c r="P219" s="45">
        <v>5141012.7445689393</v>
      </c>
      <c r="Q219" s="45">
        <f t="shared" si="66"/>
        <v>26777435.7373803</v>
      </c>
      <c r="R219" s="45" t="str">
        <f t="shared" si="67"/>
        <v>Yes</v>
      </c>
      <c r="S219" s="46" t="str">
        <f t="shared" si="67"/>
        <v>Yes</v>
      </c>
      <c r="T219" s="47">
        <f>ROUND(INDEX(Summary!H:H,MATCH(H:H,Summary!A:A,0)),2)</f>
        <v>0.35</v>
      </c>
      <c r="U219" s="47">
        <f>ROUND(INDEX(Summary!I:I,MATCH(H:H,Summary!A:A,0)),2)</f>
        <v>0.92</v>
      </c>
      <c r="V219" s="81">
        <f t="shared" si="68"/>
        <v>4638855.5472987629</v>
      </c>
      <c r="W219" s="81">
        <f t="shared" si="68"/>
        <v>2845920.2474660012</v>
      </c>
      <c r="X219" s="45">
        <f t="shared" si="69"/>
        <v>7484775.7947647646</v>
      </c>
      <c r="Y219" s="45" t="s">
        <v>2752</v>
      </c>
      <c r="Z219" s="45" t="str">
        <f t="shared" si="70"/>
        <v>Yes</v>
      </c>
      <c r="AA219" s="45" t="str">
        <f t="shared" si="70"/>
        <v>Yes</v>
      </c>
      <c r="AB219" s="45" t="str">
        <f t="shared" si="71"/>
        <v>Yes</v>
      </c>
      <c r="AC219" s="82">
        <f t="shared" si="72"/>
        <v>0.89</v>
      </c>
      <c r="AD219" s="82">
        <f t="shared" si="72"/>
        <v>0.52</v>
      </c>
      <c r="AE219" s="45">
        <f t="shared" si="73"/>
        <v>11795946.963131143</v>
      </c>
      <c r="AF219" s="45">
        <f t="shared" si="73"/>
        <v>1608563.618132957</v>
      </c>
      <c r="AG219" s="45">
        <f t="shared" si="74"/>
        <v>13404510.581264099</v>
      </c>
      <c r="AH219" s="47">
        <f>IFERROR(ROUNDDOWN(INDEX('90% of ACR'!K:K,MATCH(H:H,'90% of ACR'!A:A,0))*IF(I219&gt;0,IF(O219&gt;0,$R$4*MAX(O219-V219,0),0),0)/I219,2),0)</f>
        <v>0.89</v>
      </c>
      <c r="AI219" s="82">
        <f>IFERROR(ROUNDDOWN(INDEX('90% of ACR'!R:R,MATCH(H:H,'90% of ACR'!A:A,0))*IF(J219&gt;0,IF(P219&gt;0,$R$4*MAX(P219-W219,0),0),0)/J219,2),0)</f>
        <v>0.22</v>
      </c>
      <c r="AJ219" s="45">
        <f t="shared" si="75"/>
        <v>11795946.963131143</v>
      </c>
      <c r="AK219" s="45">
        <f t="shared" si="75"/>
        <v>680546.14613317407</v>
      </c>
      <c r="AL219" s="47">
        <f t="shared" si="76"/>
        <v>1.24</v>
      </c>
      <c r="AM219" s="47">
        <f t="shared" si="76"/>
        <v>1.1400000000000001</v>
      </c>
      <c r="AN219" s="83">
        <f>IFERROR(INDEX('Fee Calc'!P:P,MATCH(C219,'Fee Calc'!F:F,0)),0)</f>
        <v>19961268.904029083</v>
      </c>
      <c r="AO219" s="83">
        <f>IFERROR(INDEX('Fee Calc'!Q:Q,MATCH(C219,'Fee Calc'!F:F,0)),0)</f>
        <v>1241004.9116899022</v>
      </c>
      <c r="AP219" s="83">
        <f t="shared" si="77"/>
        <v>21202273.815718986</v>
      </c>
      <c r="AQ219" s="70">
        <f t="shared" si="78"/>
        <v>9054049.39207411</v>
      </c>
      <c r="AR219" s="70">
        <f t="shared" si="79"/>
        <v>4527024.696037055</v>
      </c>
      <c r="AS219" s="70">
        <f t="shared" si="80"/>
        <v>4527024.696037055</v>
      </c>
    </row>
    <row r="220" spans="1:45">
      <c r="A220" s="104" t="s">
        <v>1065</v>
      </c>
      <c r="B220" s="124" t="s">
        <v>1065</v>
      </c>
      <c r="C220" s="31" t="s">
        <v>1066</v>
      </c>
      <c r="D220" s="125" t="s">
        <v>1066</v>
      </c>
      <c r="E220" s="119" t="s">
        <v>2429</v>
      </c>
      <c r="F220" s="100" t="s">
        <v>2279</v>
      </c>
      <c r="G220" s="100" t="s">
        <v>1202</v>
      </c>
      <c r="H220" s="43" t="str">
        <f t="shared" si="63"/>
        <v>Urban Travis</v>
      </c>
      <c r="I220" s="45">
        <f>INDEX('Fee Calc'!M:M,MATCH(C:C,'Fee Calc'!F:F,0))</f>
        <v>26867539.335164472</v>
      </c>
      <c r="J220" s="45">
        <f>INDEX('Fee Calc'!L:L,MATCH(C:C,'Fee Calc'!F:F,0))</f>
        <v>4257288.4808363989</v>
      </c>
      <c r="K220" s="45">
        <f t="shared" si="64"/>
        <v>31124827.816000871</v>
      </c>
      <c r="L220" s="45">
        <v>4084692.6</v>
      </c>
      <c r="M220" s="45">
        <v>3256056.96</v>
      </c>
      <c r="N220" s="45">
        <f t="shared" si="65"/>
        <v>7340749.5600000005</v>
      </c>
      <c r="O220" s="45">
        <v>34550006.433720924</v>
      </c>
      <c r="P220" s="45">
        <v>4443146.2317550788</v>
      </c>
      <c r="Q220" s="45">
        <f t="shared" si="66"/>
        <v>38993152.665476002</v>
      </c>
      <c r="R220" s="45" t="str">
        <f t="shared" si="67"/>
        <v>Yes</v>
      </c>
      <c r="S220" s="46" t="str">
        <f t="shared" si="67"/>
        <v>Yes</v>
      </c>
      <c r="T220" s="47">
        <f>ROUND(INDEX(Summary!H:H,MATCH(H:H,Summary!A:A,0)),2)</f>
        <v>0.35</v>
      </c>
      <c r="U220" s="47">
        <f>ROUND(INDEX(Summary!I:I,MATCH(H:H,Summary!A:A,0)),2)</f>
        <v>0.92</v>
      </c>
      <c r="V220" s="81">
        <f t="shared" si="68"/>
        <v>9403638.7673075646</v>
      </c>
      <c r="W220" s="81">
        <f t="shared" si="68"/>
        <v>3916705.4023694871</v>
      </c>
      <c r="X220" s="45">
        <f t="shared" si="69"/>
        <v>13320344.169677053</v>
      </c>
      <c r="Y220" s="45" t="s">
        <v>2752</v>
      </c>
      <c r="Z220" s="45" t="str">
        <f t="shared" si="70"/>
        <v>Yes</v>
      </c>
      <c r="AA220" s="45" t="str">
        <f t="shared" si="70"/>
        <v>Yes</v>
      </c>
      <c r="AB220" s="45" t="str">
        <f t="shared" si="71"/>
        <v>Yes</v>
      </c>
      <c r="AC220" s="82">
        <f t="shared" si="72"/>
        <v>0.65</v>
      </c>
      <c r="AD220" s="82">
        <f t="shared" si="72"/>
        <v>0.09</v>
      </c>
      <c r="AE220" s="45">
        <f t="shared" si="73"/>
        <v>17463900.567856908</v>
      </c>
      <c r="AF220" s="45">
        <f t="shared" si="73"/>
        <v>383155.96327527589</v>
      </c>
      <c r="AG220" s="45">
        <f t="shared" si="74"/>
        <v>17847056.531132184</v>
      </c>
      <c r="AH220" s="47">
        <f>IFERROR(ROUNDDOWN(INDEX('90% of ACR'!K:K,MATCH(H:H,'90% of ACR'!A:A,0))*IF(I220&gt;0,IF(O220&gt;0,$R$4*MAX(O220-V220,0),0),0)/I220,2),0)</f>
        <v>0.65</v>
      </c>
      <c r="AI220" s="82">
        <f>IFERROR(ROUNDDOWN(INDEX('90% of ACR'!R:R,MATCH(H:H,'90% of ACR'!A:A,0))*IF(J220&gt;0,IF(P220&gt;0,$R$4*MAX(P220-W220,0),0),0)/J220,2),0)</f>
        <v>0.03</v>
      </c>
      <c r="AJ220" s="45">
        <f t="shared" si="75"/>
        <v>17463900.567856908</v>
      </c>
      <c r="AK220" s="45">
        <f t="shared" si="75"/>
        <v>127718.65442509197</v>
      </c>
      <c r="AL220" s="47">
        <f t="shared" si="76"/>
        <v>1</v>
      </c>
      <c r="AM220" s="47">
        <f t="shared" si="76"/>
        <v>0.95000000000000007</v>
      </c>
      <c r="AN220" s="83">
        <f>IFERROR(INDEX('Fee Calc'!P:P,MATCH(C220,'Fee Calc'!F:F,0)),0)</f>
        <v>30911963.391959053</v>
      </c>
      <c r="AO220" s="83">
        <f>IFERROR(INDEX('Fee Calc'!Q:Q,MATCH(C220,'Fee Calc'!F:F,0)),0)</f>
        <v>1894127.3874474799</v>
      </c>
      <c r="AP220" s="83">
        <f t="shared" si="77"/>
        <v>32806090.779406533</v>
      </c>
      <c r="AQ220" s="70">
        <f t="shared" si="78"/>
        <v>14009250.55771153</v>
      </c>
      <c r="AR220" s="70">
        <f t="shared" si="79"/>
        <v>7004625.2788557652</v>
      </c>
      <c r="AS220" s="70">
        <f t="shared" si="80"/>
        <v>7004625.2788557652</v>
      </c>
    </row>
    <row r="221" spans="1:45">
      <c r="A221" s="104" t="s">
        <v>1437</v>
      </c>
      <c r="B221" s="124" t="s">
        <v>1437</v>
      </c>
      <c r="C221" s="31" t="s">
        <v>1438</v>
      </c>
      <c r="D221" s="125" t="s">
        <v>1438</v>
      </c>
      <c r="E221" s="119" t="s">
        <v>2637</v>
      </c>
      <c r="F221" s="100" t="s">
        <v>2279</v>
      </c>
      <c r="G221" s="100" t="s">
        <v>223</v>
      </c>
      <c r="H221" s="43" t="str">
        <f t="shared" si="63"/>
        <v>Urban Dallas</v>
      </c>
      <c r="I221" s="45">
        <f>INDEX('Fee Calc'!M:M,MATCH(C:C,'Fee Calc'!F:F,0))</f>
        <v>295026.35670838726</v>
      </c>
      <c r="J221" s="45">
        <f>INDEX('Fee Calc'!L:L,MATCH(C:C,'Fee Calc'!F:F,0))</f>
        <v>0</v>
      </c>
      <c r="K221" s="45">
        <f t="shared" si="64"/>
        <v>295026.35670838726</v>
      </c>
      <c r="L221" s="45">
        <v>499923.05</v>
      </c>
      <c r="M221" s="45">
        <v>0</v>
      </c>
      <c r="N221" s="45">
        <f t="shared" si="65"/>
        <v>499923.05</v>
      </c>
      <c r="O221" s="45">
        <v>161786.90260505152</v>
      </c>
      <c r="P221" s="45">
        <v>0</v>
      </c>
      <c r="Q221" s="45">
        <f t="shared" si="66"/>
        <v>161786.90260505152</v>
      </c>
      <c r="R221" s="45" t="str">
        <f t="shared" si="67"/>
        <v>Yes</v>
      </c>
      <c r="S221" s="46" t="str">
        <f t="shared" si="67"/>
        <v>No</v>
      </c>
      <c r="T221" s="47">
        <f>ROUND(INDEX(Summary!H:H,MATCH(H:H,Summary!A:A,0)),2)</f>
        <v>0.54</v>
      </c>
      <c r="U221" s="47">
        <f>ROUND(INDEX(Summary!I:I,MATCH(H:H,Summary!A:A,0)),2)</f>
        <v>0.27</v>
      </c>
      <c r="V221" s="81">
        <f t="shared" si="68"/>
        <v>159314.23262252912</v>
      </c>
      <c r="W221" s="81">
        <f t="shared" si="68"/>
        <v>0</v>
      </c>
      <c r="X221" s="45">
        <f t="shared" si="69"/>
        <v>159314.23262252912</v>
      </c>
      <c r="Y221" s="45" t="s">
        <v>2752</v>
      </c>
      <c r="Z221" s="45" t="str">
        <f t="shared" si="70"/>
        <v>No</v>
      </c>
      <c r="AA221" s="45" t="str">
        <f t="shared" si="70"/>
        <v>No</v>
      </c>
      <c r="AB221" s="45" t="str">
        <f t="shared" si="71"/>
        <v>Yes</v>
      </c>
      <c r="AC221" s="82">
        <f t="shared" si="72"/>
        <v>0.01</v>
      </c>
      <c r="AD221" s="82">
        <f t="shared" si="72"/>
        <v>0</v>
      </c>
      <c r="AE221" s="45">
        <f t="shared" si="73"/>
        <v>2950.2635670838727</v>
      </c>
      <c r="AF221" s="45">
        <f t="shared" si="73"/>
        <v>0</v>
      </c>
      <c r="AG221" s="45">
        <f t="shared" si="74"/>
        <v>2950.2635670838727</v>
      </c>
      <c r="AH221" s="47">
        <f>IFERROR(ROUNDDOWN(INDEX('90% of ACR'!K:K,MATCH(H:H,'90% of ACR'!A:A,0))*IF(I221&gt;0,IF(O221&gt;0,$R$4*MAX(O221-V221,0),0),0)/I221,2),0)</f>
        <v>0</v>
      </c>
      <c r="AI221" s="82">
        <f>IFERROR(ROUNDDOWN(INDEX('90% of ACR'!R:R,MATCH(H:H,'90% of ACR'!A:A,0))*IF(J221&gt;0,IF(P221&gt;0,$R$4*MAX(P221-W221,0),0),0)/J221,2),0)</f>
        <v>0</v>
      </c>
      <c r="AJ221" s="45">
        <f t="shared" si="75"/>
        <v>0</v>
      </c>
      <c r="AK221" s="45">
        <f t="shared" si="75"/>
        <v>0</v>
      </c>
      <c r="AL221" s="47">
        <f t="shared" si="76"/>
        <v>0.54</v>
      </c>
      <c r="AM221" s="47">
        <f t="shared" si="76"/>
        <v>0.27</v>
      </c>
      <c r="AN221" s="83">
        <f>IFERROR(INDEX('Fee Calc'!P:P,MATCH(C221,'Fee Calc'!F:F,0)),0)</f>
        <v>159314.23262252912</v>
      </c>
      <c r="AO221" s="83">
        <f>IFERROR(INDEX('Fee Calc'!Q:Q,MATCH(C221,'Fee Calc'!F:F,0)),0)</f>
        <v>10168.993571650797</v>
      </c>
      <c r="AP221" s="83">
        <f t="shared" si="77"/>
        <v>169483.22619417991</v>
      </c>
      <c r="AQ221" s="70">
        <f t="shared" si="78"/>
        <v>72374.761048153043</v>
      </c>
      <c r="AR221" s="70">
        <f t="shared" si="79"/>
        <v>36187.380524076521</v>
      </c>
      <c r="AS221" s="70">
        <f t="shared" si="80"/>
        <v>36187.380524076521</v>
      </c>
    </row>
    <row r="222" spans="1:45">
      <c r="A222" s="104" t="s">
        <v>704</v>
      </c>
      <c r="B222" s="124" t="s">
        <v>704</v>
      </c>
      <c r="C222" s="31" t="s">
        <v>705</v>
      </c>
      <c r="D222" s="125" t="s">
        <v>705</v>
      </c>
      <c r="E222" s="119" t="s">
        <v>2865</v>
      </c>
      <c r="F222" s="100" t="s">
        <v>2279</v>
      </c>
      <c r="G222" s="100" t="s">
        <v>1189</v>
      </c>
      <c r="H222" s="43" t="str">
        <f t="shared" si="63"/>
        <v>Urban El Paso</v>
      </c>
      <c r="I222" s="45">
        <f>INDEX('Fee Calc'!M:M,MATCH(C:C,'Fee Calc'!F:F,0))</f>
        <v>27933819.448781598</v>
      </c>
      <c r="J222" s="45">
        <f>INDEX('Fee Calc'!L:L,MATCH(C:C,'Fee Calc'!F:F,0))</f>
        <v>7395433.891445512</v>
      </c>
      <c r="K222" s="45">
        <f t="shared" si="64"/>
        <v>35329253.340227112</v>
      </c>
      <c r="L222" s="45">
        <v>10314736.460000001</v>
      </c>
      <c r="M222" s="45">
        <v>4597931.59</v>
      </c>
      <c r="N222" s="45">
        <f t="shared" si="65"/>
        <v>14912668.050000001</v>
      </c>
      <c r="O222" s="45">
        <v>55431535.504917845</v>
      </c>
      <c r="P222" s="45">
        <v>9823973.2418474834</v>
      </c>
      <c r="Q222" s="45">
        <f t="shared" si="66"/>
        <v>65255508.74676533</v>
      </c>
      <c r="R222" s="45" t="str">
        <f t="shared" si="67"/>
        <v>Yes</v>
      </c>
      <c r="S222" s="46" t="str">
        <f t="shared" si="67"/>
        <v>Yes</v>
      </c>
      <c r="T222" s="47">
        <f>ROUND(INDEX(Summary!H:H,MATCH(H:H,Summary!A:A,0)),2)</f>
        <v>0.09</v>
      </c>
      <c r="U222" s="47">
        <f>ROUND(INDEX(Summary!I:I,MATCH(H:H,Summary!A:A,0)),2)</f>
        <v>0.45</v>
      </c>
      <c r="V222" s="81">
        <f t="shared" si="68"/>
        <v>2514043.7503903438</v>
      </c>
      <c r="W222" s="81">
        <f t="shared" si="68"/>
        <v>3327945.2511504805</v>
      </c>
      <c r="X222" s="45">
        <f t="shared" si="69"/>
        <v>5841989.0015408248</v>
      </c>
      <c r="Y222" s="45" t="s">
        <v>2752</v>
      </c>
      <c r="Z222" s="45" t="str">
        <f t="shared" si="70"/>
        <v>Yes</v>
      </c>
      <c r="AA222" s="45" t="str">
        <f t="shared" si="70"/>
        <v>Yes</v>
      </c>
      <c r="AB222" s="45" t="str">
        <f t="shared" si="71"/>
        <v>Yes</v>
      </c>
      <c r="AC222" s="82">
        <f t="shared" si="72"/>
        <v>1.32</v>
      </c>
      <c r="AD222" s="82">
        <f t="shared" si="72"/>
        <v>0.61</v>
      </c>
      <c r="AE222" s="45">
        <f t="shared" si="73"/>
        <v>36872641.672391713</v>
      </c>
      <c r="AF222" s="45">
        <f t="shared" si="73"/>
        <v>4511214.6737817619</v>
      </c>
      <c r="AG222" s="45">
        <f t="shared" si="74"/>
        <v>41383856.346173473</v>
      </c>
      <c r="AH222" s="47">
        <f>IFERROR(ROUNDDOWN(INDEX('90% of ACR'!K:K,MATCH(H:H,'90% of ACR'!A:A,0))*IF(I222&gt;0,IF(O222&gt;0,$R$4*MAX(O222-V222,0),0),0)/I222,2),0)</f>
        <v>1.27</v>
      </c>
      <c r="AI222" s="82">
        <f>IFERROR(ROUNDDOWN(INDEX('90% of ACR'!R:R,MATCH(H:H,'90% of ACR'!A:A,0))*IF(J222&gt;0,IF(P222&gt;0,$R$4*MAX(P222-W222,0),0),0)/J222,2),0)</f>
        <v>0.61</v>
      </c>
      <c r="AJ222" s="45">
        <f t="shared" si="75"/>
        <v>35475950.699952632</v>
      </c>
      <c r="AK222" s="45">
        <f t="shared" si="75"/>
        <v>4511214.6737817619</v>
      </c>
      <c r="AL222" s="47">
        <f t="shared" si="76"/>
        <v>1.36</v>
      </c>
      <c r="AM222" s="47">
        <f t="shared" si="76"/>
        <v>1.06</v>
      </c>
      <c r="AN222" s="83">
        <f>IFERROR(INDEX('Fee Calc'!P:P,MATCH(C222,'Fee Calc'!F:F,0)),0)</f>
        <v>45829154.375275217</v>
      </c>
      <c r="AO222" s="83">
        <f>IFERROR(INDEX('Fee Calc'!Q:Q,MATCH(C222,'Fee Calc'!F:F,0)),0)</f>
        <v>2824225.9302564347</v>
      </c>
      <c r="AP222" s="83">
        <f t="shared" si="77"/>
        <v>48653380.305531651</v>
      </c>
      <c r="AQ222" s="70">
        <f t="shared" si="78"/>
        <v>20776550.298631795</v>
      </c>
      <c r="AR222" s="70">
        <f t="shared" si="79"/>
        <v>10388275.149315897</v>
      </c>
      <c r="AS222" s="70">
        <f t="shared" si="80"/>
        <v>10388275.149315897</v>
      </c>
    </row>
    <row r="223" spans="1:45">
      <c r="A223" s="104" t="s">
        <v>992</v>
      </c>
      <c r="B223" s="124" t="s">
        <v>992</v>
      </c>
      <c r="C223" s="31" t="s">
        <v>993</v>
      </c>
      <c r="D223" s="125" t="s">
        <v>993</v>
      </c>
      <c r="E223" s="119" t="s">
        <v>2866</v>
      </c>
      <c r="F223" s="100" t="s">
        <v>2291</v>
      </c>
      <c r="G223" s="100" t="s">
        <v>227</v>
      </c>
      <c r="H223" s="43" t="str">
        <f t="shared" si="63"/>
        <v>Rural MRSA West</v>
      </c>
      <c r="I223" s="45">
        <f>INDEX('Fee Calc'!M:M,MATCH(C:C,'Fee Calc'!F:F,0))</f>
        <v>2291184.728863616</v>
      </c>
      <c r="J223" s="45">
        <f>INDEX('Fee Calc'!L:L,MATCH(C:C,'Fee Calc'!F:F,0))</f>
        <v>1253851.9818543566</v>
      </c>
      <c r="K223" s="45">
        <f t="shared" si="64"/>
        <v>3545036.7107179724</v>
      </c>
      <c r="L223" s="45">
        <v>66227.89</v>
      </c>
      <c r="M223" s="45">
        <v>172823.27</v>
      </c>
      <c r="N223" s="45">
        <f t="shared" si="65"/>
        <v>239051.15999999997</v>
      </c>
      <c r="O223" s="45">
        <v>-748948.67603966058</v>
      </c>
      <c r="P223" s="45">
        <v>19694.978639749286</v>
      </c>
      <c r="Q223" s="45">
        <f t="shared" si="66"/>
        <v>-729253.69739991124</v>
      </c>
      <c r="R223" s="45" t="str">
        <f t="shared" si="67"/>
        <v>No</v>
      </c>
      <c r="S223" s="46" t="str">
        <f t="shared" si="67"/>
        <v>Yes</v>
      </c>
      <c r="T223" s="47">
        <f>ROUND(INDEX(Summary!H:H,MATCH(H:H,Summary!A:A,0)),2)</f>
        <v>0</v>
      </c>
      <c r="U223" s="47">
        <f>ROUND(INDEX(Summary!I:I,MATCH(H:H,Summary!A:A,0)),2)</f>
        <v>0.2</v>
      </c>
      <c r="V223" s="81">
        <f t="shared" si="68"/>
        <v>0</v>
      </c>
      <c r="W223" s="81">
        <f t="shared" si="68"/>
        <v>250770.39637087134</v>
      </c>
      <c r="X223" s="45">
        <f t="shared" si="69"/>
        <v>250770.39637087134</v>
      </c>
      <c r="Y223" s="45" t="s">
        <v>2752</v>
      </c>
      <c r="Z223" s="45" t="str">
        <f t="shared" si="70"/>
        <v>No</v>
      </c>
      <c r="AA223" s="45" t="str">
        <f t="shared" si="70"/>
        <v>No</v>
      </c>
      <c r="AB223" s="45" t="str">
        <f t="shared" si="71"/>
        <v>No</v>
      </c>
      <c r="AC223" s="82">
        <f t="shared" si="72"/>
        <v>0</v>
      </c>
      <c r="AD223" s="82">
        <f t="shared" si="72"/>
        <v>0</v>
      </c>
      <c r="AE223" s="45">
        <f t="shared" si="73"/>
        <v>0</v>
      </c>
      <c r="AF223" s="45">
        <f t="shared" si="73"/>
        <v>0</v>
      </c>
      <c r="AG223" s="45">
        <f t="shared" si="74"/>
        <v>0</v>
      </c>
      <c r="AH223" s="47">
        <f>IFERROR(ROUNDDOWN(INDEX('90% of ACR'!K:K,MATCH(H:H,'90% of ACR'!A:A,0))*IF(I223&gt;0,IF(O223&gt;0,$R$4*MAX(O223-V223,0),0),0)/I223,2),0)</f>
        <v>0</v>
      </c>
      <c r="AI223" s="82">
        <f>IFERROR(ROUNDDOWN(INDEX('90% of ACR'!R:R,MATCH(H:H,'90% of ACR'!A:A,0))*IF(J223&gt;0,IF(P223&gt;0,$R$4*MAX(P223-W223,0),0),0)/J223,2),0)</f>
        <v>0</v>
      </c>
      <c r="AJ223" s="45">
        <f t="shared" si="75"/>
        <v>0</v>
      </c>
      <c r="AK223" s="45">
        <f t="shared" si="75"/>
        <v>0</v>
      </c>
      <c r="AL223" s="47">
        <f t="shared" si="76"/>
        <v>0</v>
      </c>
      <c r="AM223" s="47">
        <f t="shared" si="76"/>
        <v>0.2</v>
      </c>
      <c r="AN223" s="83">
        <f>IFERROR(INDEX('Fee Calc'!P:P,MATCH(C223,'Fee Calc'!F:F,0)),0)</f>
        <v>250770.39637087134</v>
      </c>
      <c r="AO223" s="83">
        <f>IFERROR(INDEX('Fee Calc'!Q:Q,MATCH(C223,'Fee Calc'!F:F,0)),0)</f>
        <v>15418.755712703753</v>
      </c>
      <c r="AP223" s="83">
        <f t="shared" si="77"/>
        <v>266189.15208357509</v>
      </c>
      <c r="AQ223" s="70">
        <f t="shared" si="78"/>
        <v>113671.28599255324</v>
      </c>
      <c r="AR223" s="70">
        <f t="shared" si="79"/>
        <v>56835.64299627662</v>
      </c>
      <c r="AS223" s="70">
        <f t="shared" si="80"/>
        <v>56835.64299627662</v>
      </c>
    </row>
    <row r="224" spans="1:45">
      <c r="A224" s="104" t="s">
        <v>123</v>
      </c>
      <c r="B224" s="124" t="s">
        <v>123</v>
      </c>
      <c r="C224" s="31" t="s">
        <v>124</v>
      </c>
      <c r="D224" s="125" t="s">
        <v>124</v>
      </c>
      <c r="E224" s="119" t="s">
        <v>1695</v>
      </c>
      <c r="F224" s="100" t="s">
        <v>2291</v>
      </c>
      <c r="G224" s="100" t="s">
        <v>300</v>
      </c>
      <c r="H224" s="43" t="str">
        <f t="shared" si="63"/>
        <v>Rural Harris</v>
      </c>
      <c r="I224" s="45">
        <f>INDEX('Fee Calc'!M:M,MATCH(C:C,'Fee Calc'!F:F,0))</f>
        <v>406820.19061899418</v>
      </c>
      <c r="J224" s="45">
        <f>INDEX('Fee Calc'!L:L,MATCH(C:C,'Fee Calc'!F:F,0))</f>
        <v>946865.03820146597</v>
      </c>
      <c r="K224" s="45">
        <f t="shared" si="64"/>
        <v>1353685.2288204602</v>
      </c>
      <c r="L224" s="45">
        <v>244260.78</v>
      </c>
      <c r="M224" s="45">
        <v>305850.46000000002</v>
      </c>
      <c r="N224" s="45">
        <f t="shared" si="65"/>
        <v>550111.24</v>
      </c>
      <c r="O224" s="45">
        <v>36659.132722852868</v>
      </c>
      <c r="P224" s="45">
        <v>235010.33058762964</v>
      </c>
      <c r="Q224" s="45">
        <f t="shared" si="66"/>
        <v>271669.4633104825</v>
      </c>
      <c r="R224" s="45" t="str">
        <f t="shared" si="67"/>
        <v>Yes</v>
      </c>
      <c r="S224" s="46" t="str">
        <f t="shared" si="67"/>
        <v>Yes</v>
      </c>
      <c r="T224" s="47">
        <f>ROUND(INDEX(Summary!H:H,MATCH(H:H,Summary!A:A,0)),2)</f>
        <v>0.01</v>
      </c>
      <c r="U224" s="47">
        <f>ROUND(INDEX(Summary!I:I,MATCH(H:H,Summary!A:A,0)),2)</f>
        <v>0.28000000000000003</v>
      </c>
      <c r="V224" s="81">
        <f t="shared" si="68"/>
        <v>4068.2019061899418</v>
      </c>
      <c r="W224" s="81">
        <f t="shared" si="68"/>
        <v>265122.2106964105</v>
      </c>
      <c r="X224" s="45">
        <f t="shared" si="69"/>
        <v>269190.41260260047</v>
      </c>
      <c r="Y224" s="45" t="s">
        <v>2752</v>
      </c>
      <c r="Z224" s="45" t="str">
        <f t="shared" si="70"/>
        <v>No</v>
      </c>
      <c r="AA224" s="45" t="str">
        <f t="shared" si="70"/>
        <v>No</v>
      </c>
      <c r="AB224" s="45" t="str">
        <f t="shared" si="71"/>
        <v>Yes</v>
      </c>
      <c r="AC224" s="82">
        <f t="shared" si="72"/>
        <v>0.06</v>
      </c>
      <c r="AD224" s="82">
        <f t="shared" si="72"/>
        <v>0</v>
      </c>
      <c r="AE224" s="45">
        <f t="shared" si="73"/>
        <v>24409.211437139649</v>
      </c>
      <c r="AF224" s="45">
        <f t="shared" si="73"/>
        <v>0</v>
      </c>
      <c r="AG224" s="45">
        <f t="shared" si="74"/>
        <v>24409.211437139649</v>
      </c>
      <c r="AH224" s="47">
        <f>IFERROR(ROUNDDOWN(INDEX('90% of ACR'!K:K,MATCH(H:H,'90% of ACR'!A:A,0))*IF(I224&gt;0,IF(O224&gt;0,$R$4*MAX(O224-V224,0),0),0)/I224,2),0)</f>
        <v>0</v>
      </c>
      <c r="AI224" s="82">
        <f>IFERROR(ROUNDDOWN(INDEX('90% of ACR'!R:R,MATCH(H:H,'90% of ACR'!A:A,0))*IF(J224&gt;0,IF(P224&gt;0,$R$4*MAX(P224-W224,0),0),0)/J224,2),0)</f>
        <v>0</v>
      </c>
      <c r="AJ224" s="45">
        <f t="shared" si="75"/>
        <v>0</v>
      </c>
      <c r="AK224" s="45">
        <f t="shared" si="75"/>
        <v>0</v>
      </c>
      <c r="AL224" s="47">
        <f t="shared" si="76"/>
        <v>0.01</v>
      </c>
      <c r="AM224" s="47">
        <f t="shared" si="76"/>
        <v>0.28000000000000003</v>
      </c>
      <c r="AN224" s="83">
        <f>IFERROR(INDEX('Fee Calc'!P:P,MATCH(C224,'Fee Calc'!F:F,0)),0)</f>
        <v>269190.41260260047</v>
      </c>
      <c r="AO224" s="83">
        <f>IFERROR(INDEX('Fee Calc'!Q:Q,MATCH(C224,'Fee Calc'!F:F,0)),0)</f>
        <v>16575.794644651905</v>
      </c>
      <c r="AP224" s="83">
        <f t="shared" si="77"/>
        <v>285766.20724725234</v>
      </c>
      <c r="AQ224" s="70">
        <f t="shared" si="78"/>
        <v>122031.31501320867</v>
      </c>
      <c r="AR224" s="70">
        <f t="shared" si="79"/>
        <v>61015.657506604337</v>
      </c>
      <c r="AS224" s="70">
        <f t="shared" si="80"/>
        <v>61015.657506604337</v>
      </c>
    </row>
    <row r="225" spans="1:45">
      <c r="A225" s="104" t="s">
        <v>1440</v>
      </c>
      <c r="B225" s="124" t="s">
        <v>1440</v>
      </c>
      <c r="C225" s="31" t="s">
        <v>1441</v>
      </c>
      <c r="D225" s="125" t="s">
        <v>1441</v>
      </c>
      <c r="E225" s="119" t="s">
        <v>2601</v>
      </c>
      <c r="F225" s="100" t="s">
        <v>2279</v>
      </c>
      <c r="G225" s="100" t="s">
        <v>300</v>
      </c>
      <c r="H225" s="43" t="str">
        <f t="shared" si="63"/>
        <v>Urban Harris</v>
      </c>
      <c r="I225" s="45">
        <f>INDEX('Fee Calc'!M:M,MATCH(C:C,'Fee Calc'!F:F,0))</f>
        <v>262539.71471932187</v>
      </c>
      <c r="J225" s="45">
        <f>INDEX('Fee Calc'!L:L,MATCH(C:C,'Fee Calc'!F:F,0))</f>
        <v>0</v>
      </c>
      <c r="K225" s="45">
        <f t="shared" si="64"/>
        <v>262539.71471932187</v>
      </c>
      <c r="L225" s="45">
        <v>83824.479999999996</v>
      </c>
      <c r="M225" s="45">
        <v>0</v>
      </c>
      <c r="N225" s="45">
        <f t="shared" si="65"/>
        <v>83824.479999999996</v>
      </c>
      <c r="O225" s="45">
        <v>17873.501115076753</v>
      </c>
      <c r="P225" s="45">
        <v>0</v>
      </c>
      <c r="Q225" s="45">
        <f t="shared" si="66"/>
        <v>17873.501115076753</v>
      </c>
      <c r="R225" s="45" t="str">
        <f t="shared" si="67"/>
        <v>Yes</v>
      </c>
      <c r="S225" s="46" t="str">
        <f t="shared" si="67"/>
        <v>No</v>
      </c>
      <c r="T225" s="47">
        <f>ROUND(INDEX(Summary!H:H,MATCH(H:H,Summary!A:A,0)),2)</f>
        <v>1.57</v>
      </c>
      <c r="U225" s="47">
        <f>ROUND(INDEX(Summary!I:I,MATCH(H:H,Summary!A:A,0)),2)</f>
        <v>0.3</v>
      </c>
      <c r="V225" s="81">
        <f t="shared" si="68"/>
        <v>412187.35210933536</v>
      </c>
      <c r="W225" s="81">
        <f t="shared" si="68"/>
        <v>0</v>
      </c>
      <c r="X225" s="45">
        <f t="shared" si="69"/>
        <v>412187.35210933536</v>
      </c>
      <c r="Y225" s="45" t="s">
        <v>2752</v>
      </c>
      <c r="Z225" s="45" t="str">
        <f t="shared" si="70"/>
        <v>No</v>
      </c>
      <c r="AA225" s="45" t="str">
        <f t="shared" si="70"/>
        <v>No</v>
      </c>
      <c r="AB225" s="45" t="str">
        <f t="shared" si="71"/>
        <v>No</v>
      </c>
      <c r="AC225" s="82">
        <f t="shared" si="72"/>
        <v>0</v>
      </c>
      <c r="AD225" s="82">
        <f t="shared" si="72"/>
        <v>0</v>
      </c>
      <c r="AE225" s="45">
        <f t="shared" si="73"/>
        <v>0</v>
      </c>
      <c r="AF225" s="45">
        <f t="shared" si="73"/>
        <v>0</v>
      </c>
      <c r="AG225" s="45">
        <f t="shared" si="74"/>
        <v>0</v>
      </c>
      <c r="AH225" s="47">
        <f>IFERROR(ROUNDDOWN(INDEX('90% of ACR'!K:K,MATCH(H:H,'90% of ACR'!A:A,0))*IF(I225&gt;0,IF(O225&gt;0,$R$4*MAX(O225-V225,0),0),0)/I225,2),0)</f>
        <v>0</v>
      </c>
      <c r="AI225" s="82">
        <f>IFERROR(ROUNDDOWN(INDEX('90% of ACR'!R:R,MATCH(H:H,'90% of ACR'!A:A,0))*IF(J225&gt;0,IF(P225&gt;0,$R$4*MAX(P225-W225,0),0),0)/J225,2),0)</f>
        <v>0</v>
      </c>
      <c r="AJ225" s="45">
        <f t="shared" si="75"/>
        <v>0</v>
      </c>
      <c r="AK225" s="45">
        <f t="shared" si="75"/>
        <v>0</v>
      </c>
      <c r="AL225" s="47">
        <f t="shared" si="76"/>
        <v>1.57</v>
      </c>
      <c r="AM225" s="47">
        <f t="shared" si="76"/>
        <v>0.3</v>
      </c>
      <c r="AN225" s="83">
        <f>IFERROR(INDEX('Fee Calc'!P:P,MATCH(C225,'Fee Calc'!F:F,0)),0)</f>
        <v>412187.35210933536</v>
      </c>
      <c r="AO225" s="83">
        <f>IFERROR(INDEX('Fee Calc'!Q:Q,MATCH(C225,'Fee Calc'!F:F,0)),0)</f>
        <v>25146.708484123908</v>
      </c>
      <c r="AP225" s="83">
        <f t="shared" si="77"/>
        <v>437334.06059345929</v>
      </c>
      <c r="AQ225" s="70">
        <f t="shared" si="78"/>
        <v>186755.63856334612</v>
      </c>
      <c r="AR225" s="70">
        <f t="shared" si="79"/>
        <v>93377.819281673059</v>
      </c>
      <c r="AS225" s="70">
        <f t="shared" si="80"/>
        <v>93377.819281673059</v>
      </c>
    </row>
    <row r="226" spans="1:45">
      <c r="A226" s="104" t="s">
        <v>2956</v>
      </c>
      <c r="B226" s="124" t="s">
        <v>2956</v>
      </c>
      <c r="C226" s="125" t="s">
        <v>2951</v>
      </c>
      <c r="D226" s="125" t="s">
        <v>2951</v>
      </c>
      <c r="E226" s="120" t="s">
        <v>2867</v>
      </c>
      <c r="F226" s="100" t="s">
        <v>2279</v>
      </c>
      <c r="G226" s="100" t="s">
        <v>300</v>
      </c>
      <c r="H226" s="43" t="str">
        <f t="shared" si="63"/>
        <v>Urban Harris</v>
      </c>
      <c r="I226" s="45">
        <f>INDEX('Fee Calc'!M:M,MATCH(C:C,'Fee Calc'!F:F,0))</f>
        <v>0</v>
      </c>
      <c r="J226" s="45">
        <f>INDEX('Fee Calc'!L:L,MATCH(C:C,'Fee Calc'!F:F,0))</f>
        <v>0</v>
      </c>
      <c r="K226" s="45">
        <f t="shared" si="64"/>
        <v>0</v>
      </c>
      <c r="L226" s="45">
        <v>0</v>
      </c>
      <c r="M226" s="45">
        <v>0</v>
      </c>
      <c r="N226" s="45">
        <f t="shared" si="65"/>
        <v>0</v>
      </c>
      <c r="O226" s="45">
        <v>0</v>
      </c>
      <c r="P226" s="45">
        <v>0</v>
      </c>
      <c r="Q226" s="45">
        <f t="shared" si="66"/>
        <v>0</v>
      </c>
      <c r="R226" s="45" t="str">
        <f t="shared" si="67"/>
        <v>No</v>
      </c>
      <c r="S226" s="46" t="str">
        <f t="shared" si="67"/>
        <v>No</v>
      </c>
      <c r="T226" s="47">
        <f>ROUND(INDEX(Summary!H:H,MATCH(H:H,Summary!A:A,0)),2)</f>
        <v>1.57</v>
      </c>
      <c r="U226" s="47">
        <f>ROUND(INDEX(Summary!I:I,MATCH(H:H,Summary!A:A,0)),2)</f>
        <v>0.3</v>
      </c>
      <c r="V226" s="81">
        <f t="shared" si="68"/>
        <v>0</v>
      </c>
      <c r="W226" s="81">
        <f t="shared" si="68"/>
        <v>0</v>
      </c>
      <c r="X226" s="45">
        <f t="shared" si="69"/>
        <v>0</v>
      </c>
      <c r="Y226" s="45" t="s">
        <v>2752</v>
      </c>
      <c r="Z226" s="45" t="str">
        <f t="shared" si="70"/>
        <v>No</v>
      </c>
      <c r="AA226" s="45" t="str">
        <f t="shared" si="70"/>
        <v>No</v>
      </c>
      <c r="AB226" s="45" t="str">
        <f t="shared" si="71"/>
        <v>No</v>
      </c>
      <c r="AC226" s="82">
        <f t="shared" si="72"/>
        <v>0</v>
      </c>
      <c r="AD226" s="82">
        <f t="shared" si="72"/>
        <v>0</v>
      </c>
      <c r="AE226" s="45">
        <f t="shared" si="73"/>
        <v>0</v>
      </c>
      <c r="AF226" s="45">
        <f t="shared" si="73"/>
        <v>0</v>
      </c>
      <c r="AG226" s="45">
        <f t="shared" si="74"/>
        <v>0</v>
      </c>
      <c r="AH226" s="47">
        <f>IFERROR(ROUNDDOWN(INDEX('90% of ACR'!K:K,MATCH(H:H,'90% of ACR'!A:A,0))*IF(I226&gt;0,IF(O226&gt;0,$R$4*MAX(O226-V226,0),0),0)/I226,2),0)</f>
        <v>0</v>
      </c>
      <c r="AI226" s="82">
        <f>IFERROR(ROUNDDOWN(INDEX('90% of ACR'!R:R,MATCH(H:H,'90% of ACR'!A:A,0))*IF(J226&gt;0,IF(P226&gt;0,$R$4*MAX(P226-W226,0),0),0)/J226,2),0)</f>
        <v>0</v>
      </c>
      <c r="AJ226" s="45">
        <f t="shared" si="75"/>
        <v>0</v>
      </c>
      <c r="AK226" s="45">
        <f t="shared" si="75"/>
        <v>0</v>
      </c>
      <c r="AL226" s="47">
        <f t="shared" si="76"/>
        <v>1.57</v>
      </c>
      <c r="AM226" s="47">
        <f t="shared" si="76"/>
        <v>0.3</v>
      </c>
      <c r="AN226" s="83">
        <f>IFERROR(INDEX('Fee Calc'!P:P,MATCH(C226,'Fee Calc'!F:F,0)),0)</f>
        <v>0</v>
      </c>
      <c r="AO226" s="83">
        <f>IFERROR(INDEX('Fee Calc'!Q:Q,MATCH(C226,'Fee Calc'!F:F,0)),0)</f>
        <v>0</v>
      </c>
      <c r="AP226" s="83">
        <f t="shared" si="77"/>
        <v>0</v>
      </c>
      <c r="AQ226" s="70">
        <f t="shared" si="78"/>
        <v>0</v>
      </c>
      <c r="AR226" s="70">
        <f t="shared" si="79"/>
        <v>0</v>
      </c>
      <c r="AS226" s="70">
        <f t="shared" si="80"/>
        <v>0</v>
      </c>
    </row>
    <row r="227" spans="1:45">
      <c r="A227" s="104" t="s">
        <v>844</v>
      </c>
      <c r="B227" s="124" t="s">
        <v>844</v>
      </c>
      <c r="C227" s="31" t="s">
        <v>845</v>
      </c>
      <c r="D227" s="125" t="s">
        <v>845</v>
      </c>
      <c r="E227" s="119" t="s">
        <v>2868</v>
      </c>
      <c r="F227" s="100" t="s">
        <v>2291</v>
      </c>
      <c r="G227" s="100" t="s">
        <v>227</v>
      </c>
      <c r="H227" s="43" t="str">
        <f t="shared" si="63"/>
        <v>Rural MRSA West</v>
      </c>
      <c r="I227" s="45">
        <f>INDEX('Fee Calc'!M:M,MATCH(C:C,'Fee Calc'!F:F,0))</f>
        <v>1662115.0597137178</v>
      </c>
      <c r="J227" s="45">
        <f>INDEX('Fee Calc'!L:L,MATCH(C:C,'Fee Calc'!F:F,0))</f>
        <v>934412.61641379271</v>
      </c>
      <c r="K227" s="45">
        <f t="shared" si="64"/>
        <v>2596527.6761275106</v>
      </c>
      <c r="L227" s="45">
        <v>528415.42000000004</v>
      </c>
      <c r="M227" s="45">
        <v>97804.160000000003</v>
      </c>
      <c r="N227" s="45">
        <f t="shared" si="65"/>
        <v>626219.58000000007</v>
      </c>
      <c r="O227" s="45">
        <v>-27732.182125553256</v>
      </c>
      <c r="P227" s="45">
        <v>367400.76489103376</v>
      </c>
      <c r="Q227" s="45">
        <f t="shared" si="66"/>
        <v>339668.5827654805</v>
      </c>
      <c r="R227" s="45" t="str">
        <f t="shared" si="67"/>
        <v>No</v>
      </c>
      <c r="S227" s="46" t="str">
        <f t="shared" si="67"/>
        <v>Yes</v>
      </c>
      <c r="T227" s="47">
        <f>ROUND(INDEX(Summary!H:H,MATCH(H:H,Summary!A:A,0)),2)</f>
        <v>0</v>
      </c>
      <c r="U227" s="47">
        <f>ROUND(INDEX(Summary!I:I,MATCH(H:H,Summary!A:A,0)),2)</f>
        <v>0.2</v>
      </c>
      <c r="V227" s="81">
        <f t="shared" si="68"/>
        <v>0</v>
      </c>
      <c r="W227" s="81">
        <f t="shared" si="68"/>
        <v>186882.52328275854</v>
      </c>
      <c r="X227" s="45">
        <f t="shared" si="69"/>
        <v>186882.52328275854</v>
      </c>
      <c r="Y227" s="45" t="s">
        <v>2752</v>
      </c>
      <c r="Z227" s="45" t="str">
        <f t="shared" si="70"/>
        <v>No</v>
      </c>
      <c r="AA227" s="45" t="str">
        <f t="shared" si="70"/>
        <v>Yes</v>
      </c>
      <c r="AB227" s="45" t="str">
        <f t="shared" si="71"/>
        <v>Yes</v>
      </c>
      <c r="AC227" s="82">
        <f t="shared" si="72"/>
        <v>0</v>
      </c>
      <c r="AD227" s="82">
        <f t="shared" si="72"/>
        <v>0.13</v>
      </c>
      <c r="AE227" s="45">
        <f t="shared" si="73"/>
        <v>0</v>
      </c>
      <c r="AF227" s="45">
        <f t="shared" si="73"/>
        <v>121473.64013379306</v>
      </c>
      <c r="AG227" s="45">
        <f t="shared" si="74"/>
        <v>121473.64013379306</v>
      </c>
      <c r="AH227" s="47">
        <f>IFERROR(ROUNDDOWN(INDEX('90% of ACR'!K:K,MATCH(H:H,'90% of ACR'!A:A,0))*IF(I227&gt;0,IF(O227&gt;0,$R$4*MAX(O227-V227,0),0),0)/I227,2),0)</f>
        <v>0</v>
      </c>
      <c r="AI227" s="82">
        <f>IFERROR(ROUNDDOWN(INDEX('90% of ACR'!R:R,MATCH(H:H,'90% of ACR'!A:A,0))*IF(J227&gt;0,IF(P227&gt;0,$R$4*MAX(P227-W227,0),0),0)/J227,2),0)</f>
        <v>0.11</v>
      </c>
      <c r="AJ227" s="45">
        <f t="shared" si="75"/>
        <v>0</v>
      </c>
      <c r="AK227" s="45">
        <f t="shared" si="75"/>
        <v>102785.3878055172</v>
      </c>
      <c r="AL227" s="47">
        <f t="shared" si="76"/>
        <v>0</v>
      </c>
      <c r="AM227" s="47">
        <f t="shared" si="76"/>
        <v>0.31</v>
      </c>
      <c r="AN227" s="83">
        <f>IFERROR(INDEX('Fee Calc'!P:P,MATCH(C227,'Fee Calc'!F:F,0)),0)</f>
        <v>289667.91108827572</v>
      </c>
      <c r="AO227" s="83">
        <f>IFERROR(INDEX('Fee Calc'!Q:Q,MATCH(C227,'Fee Calc'!F:F,0)),0)</f>
        <v>17746.270331534659</v>
      </c>
      <c r="AP227" s="83">
        <f t="shared" si="77"/>
        <v>307414.1814198104</v>
      </c>
      <c r="AQ227" s="70">
        <f t="shared" si="78"/>
        <v>131275.69272006446</v>
      </c>
      <c r="AR227" s="70">
        <f t="shared" si="79"/>
        <v>65637.846360032228</v>
      </c>
      <c r="AS227" s="70">
        <f t="shared" si="80"/>
        <v>65637.846360032228</v>
      </c>
    </row>
    <row r="228" spans="1:45" ht="25.5">
      <c r="A228" s="104" t="s">
        <v>1253</v>
      </c>
      <c r="B228" s="124" t="s">
        <v>1253</v>
      </c>
      <c r="C228" s="31" t="s">
        <v>1254</v>
      </c>
      <c r="D228" s="125" t="s">
        <v>1254</v>
      </c>
      <c r="E228" s="119" t="s">
        <v>2869</v>
      </c>
      <c r="F228" s="100" t="s">
        <v>2529</v>
      </c>
      <c r="G228" s="100" t="s">
        <v>1365</v>
      </c>
      <c r="H228" s="43" t="str">
        <f t="shared" si="63"/>
        <v>Non-state-owned IMD Tarrant</v>
      </c>
      <c r="I228" s="45">
        <f>INDEX('Fee Calc'!M:M,MATCH(C:C,'Fee Calc'!F:F,0))</f>
        <v>219324.70019686164</v>
      </c>
      <c r="J228" s="45">
        <f>INDEX('Fee Calc'!L:L,MATCH(C:C,'Fee Calc'!F:F,0))</f>
        <v>0</v>
      </c>
      <c r="K228" s="45">
        <f t="shared" si="64"/>
        <v>219324.70019686164</v>
      </c>
      <c r="L228" s="45">
        <v>133751.79999999999</v>
      </c>
      <c r="M228" s="45">
        <v>0</v>
      </c>
      <c r="N228" s="45">
        <f t="shared" si="65"/>
        <v>133751.79999999999</v>
      </c>
      <c r="O228" s="45">
        <v>133765.08803225445</v>
      </c>
      <c r="P228" s="45">
        <v>0</v>
      </c>
      <c r="Q228" s="45">
        <f t="shared" si="66"/>
        <v>133765.08803225445</v>
      </c>
      <c r="R228" s="45" t="str">
        <f t="shared" si="67"/>
        <v>Yes</v>
      </c>
      <c r="S228" s="46" t="str">
        <f t="shared" si="67"/>
        <v>No</v>
      </c>
      <c r="T228" s="47">
        <f>ROUND(INDEX(Summary!H:H,MATCH(H:H,Summary!A:A,0)),2)</f>
        <v>0.21</v>
      </c>
      <c r="U228" s="47">
        <f>ROUND(INDEX(Summary!I:I,MATCH(H:H,Summary!A:A,0)),2)</f>
        <v>0</v>
      </c>
      <c r="V228" s="81">
        <f t="shared" si="68"/>
        <v>46058.187041340942</v>
      </c>
      <c r="W228" s="81">
        <f t="shared" si="68"/>
        <v>0</v>
      </c>
      <c r="X228" s="45">
        <f t="shared" si="69"/>
        <v>46058.187041340942</v>
      </c>
      <c r="Y228" s="45" t="s">
        <v>2752</v>
      </c>
      <c r="Z228" s="45" t="str">
        <f t="shared" si="70"/>
        <v>No</v>
      </c>
      <c r="AA228" s="45" t="str">
        <f t="shared" si="70"/>
        <v>No</v>
      </c>
      <c r="AB228" s="45" t="str">
        <f t="shared" si="71"/>
        <v>Yes</v>
      </c>
      <c r="AC228" s="82">
        <f t="shared" si="72"/>
        <v>0.28000000000000003</v>
      </c>
      <c r="AD228" s="82">
        <f t="shared" si="72"/>
        <v>0</v>
      </c>
      <c r="AE228" s="45">
        <f t="shared" si="73"/>
        <v>61410.916055121263</v>
      </c>
      <c r="AF228" s="45">
        <f t="shared" si="73"/>
        <v>0</v>
      </c>
      <c r="AG228" s="45">
        <f t="shared" si="74"/>
        <v>61410.916055121263</v>
      </c>
      <c r="AH228" s="47">
        <f>IFERROR(ROUNDDOWN(INDEX('90% of ACR'!K:K,MATCH(H:H,'90% of ACR'!A:A,0))*IF(I228&gt;0,IF(O228&gt;0,$R$4*MAX(O228-V228,0),0),0)/I228,2),0)</f>
        <v>0</v>
      </c>
      <c r="AI228" s="82">
        <f>IFERROR(ROUNDDOWN(INDEX('90% of ACR'!R:R,MATCH(H:H,'90% of ACR'!A:A,0))*IF(J228&gt;0,IF(P228&gt;0,$R$4*MAX(P228-W228,0),0),0)/J228,2),0)</f>
        <v>0</v>
      </c>
      <c r="AJ228" s="45">
        <f t="shared" si="75"/>
        <v>0</v>
      </c>
      <c r="AK228" s="45">
        <f t="shared" si="75"/>
        <v>0</v>
      </c>
      <c r="AL228" s="47">
        <f t="shared" si="76"/>
        <v>0.21</v>
      </c>
      <c r="AM228" s="47">
        <f t="shared" si="76"/>
        <v>0</v>
      </c>
      <c r="AN228" s="83">
        <f>IFERROR(INDEX('Fee Calc'!P:P,MATCH(C228,'Fee Calc'!F:F,0)),0)</f>
        <v>46058.187041340942</v>
      </c>
      <c r="AO228" s="83">
        <f>IFERROR(INDEX('Fee Calc'!Q:Q,MATCH(C228,'Fee Calc'!F:F,0)),0)</f>
        <v>2809.9159202940095</v>
      </c>
      <c r="AP228" s="83">
        <f t="shared" si="77"/>
        <v>48868.102961634948</v>
      </c>
      <c r="AQ228" s="70">
        <f t="shared" si="78"/>
        <v>20868.243743912895</v>
      </c>
      <c r="AR228" s="70">
        <f t="shared" si="79"/>
        <v>10434.121871956448</v>
      </c>
      <c r="AS228" s="70">
        <f t="shared" si="80"/>
        <v>10434.121871956448</v>
      </c>
    </row>
    <row r="229" spans="1:45">
      <c r="A229" s="104" t="s">
        <v>819</v>
      </c>
      <c r="B229" s="124" t="s">
        <v>819</v>
      </c>
      <c r="C229" s="31" t="s">
        <v>820</v>
      </c>
      <c r="D229" s="125" t="s">
        <v>820</v>
      </c>
      <c r="E229" s="119" t="s">
        <v>2594</v>
      </c>
      <c r="F229" s="100" t="s">
        <v>2291</v>
      </c>
      <c r="G229" s="100" t="s">
        <v>227</v>
      </c>
      <c r="H229" s="43" t="str">
        <f t="shared" si="63"/>
        <v>Rural MRSA West</v>
      </c>
      <c r="I229" s="45">
        <f>INDEX('Fee Calc'!M:M,MATCH(C:C,'Fee Calc'!F:F,0))</f>
        <v>115031.53641215798</v>
      </c>
      <c r="J229" s="45">
        <f>INDEX('Fee Calc'!L:L,MATCH(C:C,'Fee Calc'!F:F,0))</f>
        <v>522914.17043385759</v>
      </c>
      <c r="K229" s="45">
        <f t="shared" si="64"/>
        <v>637945.70684601553</v>
      </c>
      <c r="L229" s="45">
        <v>41420.14</v>
      </c>
      <c r="M229" s="45">
        <v>540573.96</v>
      </c>
      <c r="N229" s="45">
        <f t="shared" si="65"/>
        <v>581994.1</v>
      </c>
      <c r="O229" s="45">
        <v>-25399.524312361969</v>
      </c>
      <c r="P229" s="45">
        <v>209697.83322742063</v>
      </c>
      <c r="Q229" s="45">
        <f t="shared" si="66"/>
        <v>184298.30891505867</v>
      </c>
      <c r="R229" s="45" t="str">
        <f t="shared" si="67"/>
        <v>No</v>
      </c>
      <c r="S229" s="46" t="str">
        <f t="shared" si="67"/>
        <v>Yes</v>
      </c>
      <c r="T229" s="47">
        <f>ROUND(INDEX(Summary!H:H,MATCH(H:H,Summary!A:A,0)),2)</f>
        <v>0</v>
      </c>
      <c r="U229" s="47">
        <f>ROUND(INDEX(Summary!I:I,MATCH(H:H,Summary!A:A,0)),2)</f>
        <v>0.2</v>
      </c>
      <c r="V229" s="81">
        <f t="shared" si="68"/>
        <v>0</v>
      </c>
      <c r="W229" s="81">
        <f t="shared" si="68"/>
        <v>104582.83408677153</v>
      </c>
      <c r="X229" s="45">
        <f t="shared" si="69"/>
        <v>104582.83408677153</v>
      </c>
      <c r="Y229" s="45" t="s">
        <v>2753</v>
      </c>
      <c r="Z229" s="45" t="str">
        <f t="shared" si="70"/>
        <v>No</v>
      </c>
      <c r="AA229" s="45" t="str">
        <f t="shared" si="70"/>
        <v>Yes</v>
      </c>
      <c r="AB229" s="45" t="str">
        <f t="shared" si="71"/>
        <v>Yes</v>
      </c>
      <c r="AC229" s="82">
        <f t="shared" si="72"/>
        <v>0</v>
      </c>
      <c r="AD229" s="82">
        <f t="shared" si="72"/>
        <v>0.14000000000000001</v>
      </c>
      <c r="AE229" s="45">
        <f t="shared" si="73"/>
        <v>0</v>
      </c>
      <c r="AF229" s="45">
        <f t="shared" si="73"/>
        <v>73207.983860740074</v>
      </c>
      <c r="AG229" s="45">
        <f t="shared" si="74"/>
        <v>73207.983860740074</v>
      </c>
      <c r="AH229" s="47">
        <f>IFERROR(ROUNDDOWN(INDEX('90% of ACR'!K:K,MATCH(H:H,'90% of ACR'!A:A,0))*IF(I229&gt;0,IF(O229&gt;0,$R$4*MAX(O229-V229,0),0),0)/I229,2),0)</f>
        <v>0</v>
      </c>
      <c r="AI229" s="82">
        <f>IFERROR(ROUNDDOWN(INDEX('90% of ACR'!R:R,MATCH(H:H,'90% of ACR'!A:A,0))*IF(J229&gt;0,IF(P229&gt;0,$R$4*MAX(P229-W229,0),0),0)/J229,2),0)</f>
        <v>0.12</v>
      </c>
      <c r="AJ229" s="45">
        <f t="shared" si="75"/>
        <v>0</v>
      </c>
      <c r="AK229" s="45">
        <f t="shared" si="75"/>
        <v>62749.700452062913</v>
      </c>
      <c r="AL229" s="47">
        <f t="shared" si="76"/>
        <v>0</v>
      </c>
      <c r="AM229" s="47">
        <f t="shared" si="76"/>
        <v>0.32</v>
      </c>
      <c r="AN229" s="83">
        <f>IFERROR(INDEX('Fee Calc'!P:P,MATCH(C229,'Fee Calc'!F:F,0)),0)</f>
        <v>167332.53453883444</v>
      </c>
      <c r="AO229" s="83">
        <f>IFERROR(INDEX('Fee Calc'!Q:Q,MATCH(C229,'Fee Calc'!F:F,0)),0)</f>
        <v>10273.025747543565</v>
      </c>
      <c r="AP229" s="83">
        <f t="shared" si="77"/>
        <v>177605.56028637802</v>
      </c>
      <c r="AQ229" s="70">
        <f t="shared" si="78"/>
        <v>75843.257620212578</v>
      </c>
      <c r="AR229" s="70">
        <f t="shared" si="79"/>
        <v>37921.628810106289</v>
      </c>
      <c r="AS229" s="70">
        <f t="shared" si="80"/>
        <v>37921.628810106289</v>
      </c>
    </row>
    <row r="230" spans="1:45">
      <c r="A230" s="104" t="s">
        <v>953</v>
      </c>
      <c r="B230" s="124" t="s">
        <v>953</v>
      </c>
      <c r="C230" s="31" t="s">
        <v>954</v>
      </c>
      <c r="D230" s="125" t="s">
        <v>954</v>
      </c>
      <c r="E230" s="119" t="s">
        <v>1644</v>
      </c>
      <c r="F230" s="100" t="s">
        <v>2291</v>
      </c>
      <c r="G230" s="100" t="s">
        <v>300</v>
      </c>
      <c r="H230" s="43" t="str">
        <f t="shared" si="63"/>
        <v>Rural Harris</v>
      </c>
      <c r="I230" s="45">
        <f>INDEX('Fee Calc'!M:M,MATCH(C:C,'Fee Calc'!F:F,0))</f>
        <v>171881.62214770366</v>
      </c>
      <c r="J230" s="45">
        <f>INDEX('Fee Calc'!L:L,MATCH(C:C,'Fee Calc'!F:F,0))</f>
        <v>129860.95971652384</v>
      </c>
      <c r="K230" s="45">
        <f t="shared" si="64"/>
        <v>301742.58186422748</v>
      </c>
      <c r="L230" s="45">
        <v>7940.95</v>
      </c>
      <c r="M230" s="45">
        <v>-16534.88</v>
      </c>
      <c r="N230" s="45">
        <f t="shared" si="65"/>
        <v>-8593.93</v>
      </c>
      <c r="O230" s="45">
        <v>472.53608732101566</v>
      </c>
      <c r="P230" s="45">
        <v>8394.7891940679256</v>
      </c>
      <c r="Q230" s="45">
        <f t="shared" si="66"/>
        <v>8867.3252813889412</v>
      </c>
      <c r="R230" s="45" t="str">
        <f t="shared" si="67"/>
        <v>Yes</v>
      </c>
      <c r="S230" s="46" t="str">
        <f t="shared" si="67"/>
        <v>Yes</v>
      </c>
      <c r="T230" s="47">
        <f>ROUND(INDEX(Summary!H:H,MATCH(H:H,Summary!A:A,0)),2)</f>
        <v>0.01</v>
      </c>
      <c r="U230" s="47">
        <f>ROUND(INDEX(Summary!I:I,MATCH(H:H,Summary!A:A,0)),2)</f>
        <v>0.28000000000000003</v>
      </c>
      <c r="V230" s="81">
        <f t="shared" si="68"/>
        <v>1718.8162214770366</v>
      </c>
      <c r="W230" s="81">
        <f t="shared" si="68"/>
        <v>36361.068720626681</v>
      </c>
      <c r="X230" s="45">
        <f t="shared" si="69"/>
        <v>38079.884942103716</v>
      </c>
      <c r="Y230" s="45" t="s">
        <v>2752</v>
      </c>
      <c r="Z230" s="45" t="str">
        <f t="shared" si="70"/>
        <v>No</v>
      </c>
      <c r="AA230" s="45" t="str">
        <f t="shared" si="70"/>
        <v>No</v>
      </c>
      <c r="AB230" s="45" t="str">
        <f t="shared" si="71"/>
        <v>No</v>
      </c>
      <c r="AC230" s="82">
        <f t="shared" si="72"/>
        <v>0</v>
      </c>
      <c r="AD230" s="82">
        <f t="shared" si="72"/>
        <v>0</v>
      </c>
      <c r="AE230" s="45">
        <f t="shared" si="73"/>
        <v>0</v>
      </c>
      <c r="AF230" s="45">
        <f t="shared" si="73"/>
        <v>0</v>
      </c>
      <c r="AG230" s="45">
        <f t="shared" si="74"/>
        <v>0</v>
      </c>
      <c r="AH230" s="47">
        <f>IFERROR(ROUNDDOWN(INDEX('90% of ACR'!K:K,MATCH(H:H,'90% of ACR'!A:A,0))*IF(I230&gt;0,IF(O230&gt;0,$R$4*MAX(O230-V230,0),0),0)/I230,2),0)</f>
        <v>0</v>
      </c>
      <c r="AI230" s="82">
        <f>IFERROR(ROUNDDOWN(INDEX('90% of ACR'!R:R,MATCH(H:H,'90% of ACR'!A:A,0))*IF(J230&gt;0,IF(P230&gt;0,$R$4*MAX(P230-W230,0),0),0)/J230,2),0)</f>
        <v>0</v>
      </c>
      <c r="AJ230" s="45">
        <f t="shared" si="75"/>
        <v>0</v>
      </c>
      <c r="AK230" s="45">
        <f t="shared" si="75"/>
        <v>0</v>
      </c>
      <c r="AL230" s="47">
        <f t="shared" si="76"/>
        <v>0.01</v>
      </c>
      <c r="AM230" s="47">
        <f t="shared" si="76"/>
        <v>0.28000000000000003</v>
      </c>
      <c r="AN230" s="83">
        <f>IFERROR(INDEX('Fee Calc'!P:P,MATCH(C230,'Fee Calc'!F:F,0)),0)</f>
        <v>38079.884942103716</v>
      </c>
      <c r="AO230" s="83">
        <f>IFERROR(INDEX('Fee Calc'!Q:Q,MATCH(C230,'Fee Calc'!F:F,0)),0)</f>
        <v>2332.2321428244491</v>
      </c>
      <c r="AP230" s="83">
        <f t="shared" si="77"/>
        <v>40412.117084928163</v>
      </c>
      <c r="AQ230" s="70">
        <f t="shared" si="78"/>
        <v>17257.267183011045</v>
      </c>
      <c r="AR230" s="70">
        <f t="shared" si="79"/>
        <v>8628.6335915055224</v>
      </c>
      <c r="AS230" s="70">
        <f t="shared" si="80"/>
        <v>8628.6335915055224</v>
      </c>
    </row>
    <row r="231" spans="1:45">
      <c r="A231" s="104" t="s">
        <v>1171</v>
      </c>
      <c r="B231" s="124" t="s">
        <v>1171</v>
      </c>
      <c r="C231" s="31" t="s">
        <v>1172</v>
      </c>
      <c r="D231" s="125" t="s">
        <v>1172</v>
      </c>
      <c r="E231" s="119" t="s">
        <v>2651</v>
      </c>
      <c r="F231" s="100" t="s">
        <v>2291</v>
      </c>
      <c r="G231" s="100" t="s">
        <v>487</v>
      </c>
      <c r="H231" s="43" t="str">
        <f t="shared" si="63"/>
        <v>Rural Bexar</v>
      </c>
      <c r="I231" s="45">
        <f>INDEX('Fee Calc'!M:M,MATCH(C:C,'Fee Calc'!F:F,0))</f>
        <v>449537.36286022724</v>
      </c>
      <c r="J231" s="45">
        <f>INDEX('Fee Calc'!L:L,MATCH(C:C,'Fee Calc'!F:F,0))</f>
        <v>1847046.1399869993</v>
      </c>
      <c r="K231" s="45">
        <f t="shared" si="64"/>
        <v>2296583.5028472263</v>
      </c>
      <c r="L231" s="45">
        <v>40802.58</v>
      </c>
      <c r="M231" s="45">
        <v>232440.1</v>
      </c>
      <c r="N231" s="45">
        <f t="shared" si="65"/>
        <v>273242.68</v>
      </c>
      <c r="O231" s="45">
        <v>34825.027762573111</v>
      </c>
      <c r="P231" s="45">
        <v>529647.39888683031</v>
      </c>
      <c r="Q231" s="45">
        <f t="shared" si="66"/>
        <v>564472.42664940341</v>
      </c>
      <c r="R231" s="45" t="str">
        <f t="shared" si="67"/>
        <v>Yes</v>
      </c>
      <c r="S231" s="46" t="str">
        <f t="shared" si="67"/>
        <v>Yes</v>
      </c>
      <c r="T231" s="47">
        <f>ROUND(INDEX(Summary!H:H,MATCH(H:H,Summary!A:A,0)),2)</f>
        <v>0.43</v>
      </c>
      <c r="U231" s="47">
        <f>ROUND(INDEX(Summary!I:I,MATCH(H:H,Summary!A:A,0)),2)</f>
        <v>0.09</v>
      </c>
      <c r="V231" s="81">
        <f t="shared" si="68"/>
        <v>193301.06602989772</v>
      </c>
      <c r="W231" s="81">
        <f t="shared" si="68"/>
        <v>166234.15259882994</v>
      </c>
      <c r="X231" s="45">
        <f t="shared" si="69"/>
        <v>359535.21862872766</v>
      </c>
      <c r="Y231" s="45" t="s">
        <v>2752</v>
      </c>
      <c r="Z231" s="45" t="str">
        <f t="shared" si="70"/>
        <v>No</v>
      </c>
      <c r="AA231" s="45" t="str">
        <f t="shared" si="70"/>
        <v>Yes</v>
      </c>
      <c r="AB231" s="45" t="str">
        <f t="shared" si="71"/>
        <v>Yes</v>
      </c>
      <c r="AC231" s="82">
        <f t="shared" si="72"/>
        <v>0</v>
      </c>
      <c r="AD231" s="82">
        <f t="shared" si="72"/>
        <v>0.14000000000000001</v>
      </c>
      <c r="AE231" s="45">
        <f t="shared" si="73"/>
        <v>0</v>
      </c>
      <c r="AF231" s="45">
        <f t="shared" si="73"/>
        <v>258586.45959817994</v>
      </c>
      <c r="AG231" s="45">
        <f t="shared" si="74"/>
        <v>258586.45959817994</v>
      </c>
      <c r="AH231" s="47">
        <f>IFERROR(ROUNDDOWN(INDEX('90% of ACR'!K:K,MATCH(H:H,'90% of ACR'!A:A,0))*IF(I231&gt;0,IF(O231&gt;0,$R$4*MAX(O231-V231,0),0),0)/I231,2),0)</f>
        <v>0</v>
      </c>
      <c r="AI231" s="82">
        <f>IFERROR(ROUNDDOWN(INDEX('90% of ACR'!R:R,MATCH(H:H,'90% of ACR'!A:A,0))*IF(J231&gt;0,IF(P231&gt;0,$R$4*MAX(P231-W231,0),0),0)/J231,2),0)</f>
        <v>0.13</v>
      </c>
      <c r="AJ231" s="45">
        <f t="shared" si="75"/>
        <v>0</v>
      </c>
      <c r="AK231" s="45">
        <f t="shared" si="75"/>
        <v>240115.99819830991</v>
      </c>
      <c r="AL231" s="47">
        <f t="shared" si="76"/>
        <v>0.43</v>
      </c>
      <c r="AM231" s="47">
        <f t="shared" si="76"/>
        <v>0.22</v>
      </c>
      <c r="AN231" s="83">
        <f>IFERROR(INDEX('Fee Calc'!P:P,MATCH(C231,'Fee Calc'!F:F,0)),0)</f>
        <v>599651.21682703751</v>
      </c>
      <c r="AO231" s="83">
        <f>IFERROR(INDEX('Fee Calc'!Q:Q,MATCH(C231,'Fee Calc'!F:F,0)),0)</f>
        <v>36876.690635759878</v>
      </c>
      <c r="AP231" s="83">
        <f t="shared" si="77"/>
        <v>636527.90746279736</v>
      </c>
      <c r="AQ231" s="70">
        <f t="shared" si="78"/>
        <v>271817.78537965327</v>
      </c>
      <c r="AR231" s="70">
        <f t="shared" si="79"/>
        <v>135908.89268982664</v>
      </c>
      <c r="AS231" s="70">
        <f t="shared" si="80"/>
        <v>135908.89268982664</v>
      </c>
    </row>
    <row r="232" spans="1:45">
      <c r="A232" s="104" t="s">
        <v>371</v>
      </c>
      <c r="B232" s="124" t="s">
        <v>371</v>
      </c>
      <c r="C232" s="31" t="s">
        <v>372</v>
      </c>
      <c r="D232" s="125" t="s">
        <v>372</v>
      </c>
      <c r="E232" s="119" t="s">
        <v>2722</v>
      </c>
      <c r="F232" s="100" t="s">
        <v>2291</v>
      </c>
      <c r="G232" s="100" t="s">
        <v>1486</v>
      </c>
      <c r="H232" s="43" t="str">
        <f t="shared" si="63"/>
        <v>Rural MRSA Central</v>
      </c>
      <c r="I232" s="45">
        <f>INDEX('Fee Calc'!M:M,MATCH(C:C,'Fee Calc'!F:F,0))</f>
        <v>2439.633866853846</v>
      </c>
      <c r="J232" s="45">
        <f>INDEX('Fee Calc'!L:L,MATCH(C:C,'Fee Calc'!F:F,0))</f>
        <v>102954.23852252751</v>
      </c>
      <c r="K232" s="45">
        <f t="shared" si="64"/>
        <v>105393.87238938136</v>
      </c>
      <c r="L232" s="45">
        <v>4660.01</v>
      </c>
      <c r="M232" s="45">
        <v>12239.98</v>
      </c>
      <c r="N232" s="45">
        <f t="shared" si="65"/>
        <v>16899.989999999998</v>
      </c>
      <c r="O232" s="45">
        <v>1340.9497562891265</v>
      </c>
      <c r="P232" s="45">
        <v>160010.49971266897</v>
      </c>
      <c r="Q232" s="45">
        <f t="shared" si="66"/>
        <v>161351.4494689581</v>
      </c>
      <c r="R232" s="45" t="str">
        <f t="shared" si="67"/>
        <v>Yes</v>
      </c>
      <c r="S232" s="46" t="str">
        <f t="shared" si="67"/>
        <v>Yes</v>
      </c>
      <c r="T232" s="47">
        <f>ROUND(INDEX(Summary!H:H,MATCH(H:H,Summary!A:A,0)),2)</f>
        <v>0.09</v>
      </c>
      <c r="U232" s="47">
        <f>ROUND(INDEX(Summary!I:I,MATCH(H:H,Summary!A:A,0)),2)</f>
        <v>0.09</v>
      </c>
      <c r="V232" s="81">
        <f t="shared" si="68"/>
        <v>219.56704801684614</v>
      </c>
      <c r="W232" s="81">
        <f t="shared" si="68"/>
        <v>9265.8814670274751</v>
      </c>
      <c r="X232" s="45">
        <f t="shared" si="69"/>
        <v>9485.4485150443215</v>
      </c>
      <c r="Y232" s="45" t="s">
        <v>2752</v>
      </c>
      <c r="Z232" s="45" t="str">
        <f t="shared" si="70"/>
        <v>Yes</v>
      </c>
      <c r="AA232" s="45" t="str">
        <f t="shared" si="70"/>
        <v>Yes</v>
      </c>
      <c r="AB232" s="45" t="str">
        <f t="shared" si="71"/>
        <v>Yes</v>
      </c>
      <c r="AC232" s="82">
        <f t="shared" si="72"/>
        <v>0.32</v>
      </c>
      <c r="AD232" s="82">
        <f t="shared" si="72"/>
        <v>1.02</v>
      </c>
      <c r="AE232" s="45">
        <f t="shared" si="73"/>
        <v>780.68283739323078</v>
      </c>
      <c r="AF232" s="45">
        <f t="shared" si="73"/>
        <v>105013.32329297806</v>
      </c>
      <c r="AG232" s="45">
        <f t="shared" si="74"/>
        <v>105794.0061303713</v>
      </c>
      <c r="AH232" s="47">
        <f>IFERROR(ROUNDDOWN(INDEX('90% of ACR'!K:K,MATCH(H:H,'90% of ACR'!A:A,0))*IF(I232&gt;0,IF(O232&gt;0,$R$4*MAX(O232-V232,0),0),0)/I232,2),0)</f>
        <v>0.16</v>
      </c>
      <c r="AI232" s="82">
        <f>IFERROR(ROUNDDOWN(INDEX('90% of ACR'!R:R,MATCH(H:H,'90% of ACR'!A:A,0))*IF(J232&gt;0,IF(P232&gt;0,$R$4*MAX(P232-W232,0),0),0)/J232,2),0)</f>
        <v>1.02</v>
      </c>
      <c r="AJ232" s="45">
        <f t="shared" si="75"/>
        <v>390.34141869661539</v>
      </c>
      <c r="AK232" s="45">
        <f t="shared" si="75"/>
        <v>105013.32329297806</v>
      </c>
      <c r="AL232" s="47">
        <f t="shared" si="76"/>
        <v>0.25</v>
      </c>
      <c r="AM232" s="47">
        <f t="shared" si="76"/>
        <v>1.1100000000000001</v>
      </c>
      <c r="AN232" s="83">
        <f>IFERROR(INDEX('Fee Calc'!P:P,MATCH(C232,'Fee Calc'!F:F,0)),0)</f>
        <v>114889.113226719</v>
      </c>
      <c r="AO232" s="83">
        <f>IFERROR(INDEX('Fee Calc'!Q:Q,MATCH(C232,'Fee Calc'!F:F,0)),0)</f>
        <v>7009.1501438051391</v>
      </c>
      <c r="AP232" s="83">
        <f t="shared" si="77"/>
        <v>121898.26337052413</v>
      </c>
      <c r="AQ232" s="70">
        <f t="shared" si="78"/>
        <v>52054.459203641658</v>
      </c>
      <c r="AR232" s="70">
        <f t="shared" si="79"/>
        <v>26027.229601820829</v>
      </c>
      <c r="AS232" s="70">
        <f t="shared" si="80"/>
        <v>26027.229601820829</v>
      </c>
    </row>
    <row r="233" spans="1:45">
      <c r="A233" s="104" t="s">
        <v>1419</v>
      </c>
      <c r="B233" s="124" t="s">
        <v>1419</v>
      </c>
      <c r="C233" s="31" t="s">
        <v>1420</v>
      </c>
      <c r="D233" s="125" t="s">
        <v>1420</v>
      </c>
      <c r="E233" s="119" t="s">
        <v>2638</v>
      </c>
      <c r="F233" s="100" t="s">
        <v>2279</v>
      </c>
      <c r="G233" s="100" t="s">
        <v>1365</v>
      </c>
      <c r="H233" s="43" t="str">
        <f t="shared" si="63"/>
        <v>Urban Tarrant</v>
      </c>
      <c r="I233" s="45">
        <f>INDEX('Fee Calc'!M:M,MATCH(C:C,'Fee Calc'!F:F,0))</f>
        <v>0</v>
      </c>
      <c r="J233" s="45">
        <f>INDEX('Fee Calc'!L:L,MATCH(C:C,'Fee Calc'!F:F,0))</f>
        <v>0</v>
      </c>
      <c r="K233" s="45">
        <f t="shared" si="64"/>
        <v>0</v>
      </c>
      <c r="L233" s="45">
        <v>43730.69</v>
      </c>
      <c r="M233" s="45">
        <v>0</v>
      </c>
      <c r="N233" s="45">
        <f t="shared" si="65"/>
        <v>43730.69</v>
      </c>
      <c r="O233" s="45">
        <v>22683.437683678225</v>
      </c>
      <c r="P233" s="45">
        <v>0</v>
      </c>
      <c r="Q233" s="45">
        <f t="shared" si="66"/>
        <v>22683.437683678225</v>
      </c>
      <c r="R233" s="45" t="str">
        <f t="shared" si="67"/>
        <v>Yes</v>
      </c>
      <c r="S233" s="46" t="str">
        <f t="shared" si="67"/>
        <v>No</v>
      </c>
      <c r="T233" s="47">
        <f>ROUND(INDEX(Summary!H:H,MATCH(H:H,Summary!A:A,0)),2)</f>
        <v>0.74</v>
      </c>
      <c r="U233" s="47">
        <f>ROUND(INDEX(Summary!I:I,MATCH(H:H,Summary!A:A,0)),2)</f>
        <v>0.49</v>
      </c>
      <c r="V233" s="81">
        <f t="shared" si="68"/>
        <v>0</v>
      </c>
      <c r="W233" s="81">
        <f t="shared" si="68"/>
        <v>0</v>
      </c>
      <c r="X233" s="45">
        <f t="shared" si="69"/>
        <v>0</v>
      </c>
      <c r="Y233" s="45" t="s">
        <v>2752</v>
      </c>
      <c r="Z233" s="45" t="str">
        <f t="shared" si="70"/>
        <v>No</v>
      </c>
      <c r="AA233" s="45" t="str">
        <f t="shared" si="70"/>
        <v>No</v>
      </c>
      <c r="AB233" s="45" t="str">
        <f t="shared" si="71"/>
        <v>No</v>
      </c>
      <c r="AC233" s="82">
        <f t="shared" si="72"/>
        <v>0</v>
      </c>
      <c r="AD233" s="82">
        <f t="shared" si="72"/>
        <v>0</v>
      </c>
      <c r="AE233" s="45">
        <f t="shared" si="73"/>
        <v>0</v>
      </c>
      <c r="AF233" s="45">
        <f t="shared" si="73"/>
        <v>0</v>
      </c>
      <c r="AG233" s="45">
        <f t="shared" si="74"/>
        <v>0</v>
      </c>
      <c r="AH233" s="47">
        <f>IFERROR(ROUNDDOWN(INDEX('90% of ACR'!K:K,MATCH(H:H,'90% of ACR'!A:A,0))*IF(I233&gt;0,IF(O233&gt;0,$R$4*MAX(O233-V233,0),0),0)/I233,2),0)</f>
        <v>0</v>
      </c>
      <c r="AI233" s="82">
        <f>IFERROR(ROUNDDOWN(INDEX('90% of ACR'!R:R,MATCH(H:H,'90% of ACR'!A:A,0))*IF(J233&gt;0,IF(P233&gt;0,$R$4*MAX(P233-W233,0),0),0)/J233,2),0)</f>
        <v>0</v>
      </c>
      <c r="AJ233" s="45">
        <f t="shared" si="75"/>
        <v>0</v>
      </c>
      <c r="AK233" s="45">
        <f t="shared" si="75"/>
        <v>0</v>
      </c>
      <c r="AL233" s="47">
        <f t="shared" si="76"/>
        <v>0.74</v>
      </c>
      <c r="AM233" s="47">
        <f t="shared" si="76"/>
        <v>0.49</v>
      </c>
      <c r="AN233" s="83">
        <f>IFERROR(INDEX('Fee Calc'!P:P,MATCH(C233,'Fee Calc'!F:F,0)),0)</f>
        <v>0</v>
      </c>
      <c r="AO233" s="83">
        <f>IFERROR(INDEX('Fee Calc'!Q:Q,MATCH(C233,'Fee Calc'!F:F,0)),0)</f>
        <v>0</v>
      </c>
      <c r="AP233" s="83">
        <f t="shared" si="77"/>
        <v>0</v>
      </c>
      <c r="AQ233" s="70">
        <f t="shared" si="78"/>
        <v>0</v>
      </c>
      <c r="AR233" s="70">
        <f t="shared" si="79"/>
        <v>0</v>
      </c>
      <c r="AS233" s="70">
        <f t="shared" si="80"/>
        <v>0</v>
      </c>
    </row>
    <row r="234" spans="1:45">
      <c r="A234" s="104" t="s">
        <v>1425</v>
      </c>
      <c r="B234" s="124" t="s">
        <v>1425</v>
      </c>
      <c r="C234" s="31" t="s">
        <v>1426</v>
      </c>
      <c r="D234" s="125" t="s">
        <v>1426</v>
      </c>
      <c r="E234" s="119" t="s">
        <v>2640</v>
      </c>
      <c r="F234" s="100" t="s">
        <v>2279</v>
      </c>
      <c r="G234" s="100" t="s">
        <v>227</v>
      </c>
      <c r="H234" s="43" t="str">
        <f t="shared" si="63"/>
        <v>Urban MRSA West</v>
      </c>
      <c r="I234" s="45">
        <f>INDEX('Fee Calc'!M:M,MATCH(C:C,'Fee Calc'!F:F,0))</f>
        <v>1006477.3265159216</v>
      </c>
      <c r="J234" s="45">
        <f>INDEX('Fee Calc'!L:L,MATCH(C:C,'Fee Calc'!F:F,0))</f>
        <v>0</v>
      </c>
      <c r="K234" s="45">
        <f t="shared" si="64"/>
        <v>1006477.3265159216</v>
      </c>
      <c r="L234" s="45">
        <v>912508.33</v>
      </c>
      <c r="M234" s="45">
        <v>0</v>
      </c>
      <c r="N234" s="45">
        <f t="shared" si="65"/>
        <v>912508.33</v>
      </c>
      <c r="O234" s="45">
        <v>274587.19807757076</v>
      </c>
      <c r="P234" s="45">
        <v>0</v>
      </c>
      <c r="Q234" s="45">
        <f t="shared" si="66"/>
        <v>274587.19807757076</v>
      </c>
      <c r="R234" s="45" t="str">
        <f t="shared" si="67"/>
        <v>Yes</v>
      </c>
      <c r="S234" s="46" t="str">
        <f t="shared" si="67"/>
        <v>No</v>
      </c>
      <c r="T234" s="47">
        <f>ROUND(INDEX(Summary!H:H,MATCH(H:H,Summary!A:A,0)),2)</f>
        <v>0.28999999999999998</v>
      </c>
      <c r="U234" s="47">
        <f>ROUND(INDEX(Summary!I:I,MATCH(H:H,Summary!A:A,0)),2)</f>
        <v>0.79</v>
      </c>
      <c r="V234" s="81">
        <f t="shared" si="68"/>
        <v>291878.42468961724</v>
      </c>
      <c r="W234" s="81">
        <f t="shared" si="68"/>
        <v>0</v>
      </c>
      <c r="X234" s="45">
        <f t="shared" si="69"/>
        <v>291878.42468961724</v>
      </c>
      <c r="Y234" s="45" t="s">
        <v>2752</v>
      </c>
      <c r="Z234" s="45" t="str">
        <f t="shared" si="70"/>
        <v>No</v>
      </c>
      <c r="AA234" s="45" t="str">
        <f t="shared" si="70"/>
        <v>No</v>
      </c>
      <c r="AB234" s="45" t="str">
        <f t="shared" si="71"/>
        <v>No</v>
      </c>
      <c r="AC234" s="82">
        <f t="shared" si="72"/>
        <v>0</v>
      </c>
      <c r="AD234" s="82">
        <f t="shared" si="72"/>
        <v>0</v>
      </c>
      <c r="AE234" s="45">
        <f t="shared" si="73"/>
        <v>0</v>
      </c>
      <c r="AF234" s="45">
        <f t="shared" si="73"/>
        <v>0</v>
      </c>
      <c r="AG234" s="45">
        <f t="shared" si="74"/>
        <v>0</v>
      </c>
      <c r="AH234" s="47">
        <f>IFERROR(ROUNDDOWN(INDEX('90% of ACR'!K:K,MATCH(H:H,'90% of ACR'!A:A,0))*IF(I234&gt;0,IF(O234&gt;0,$R$4*MAX(O234-V234,0),0),0)/I234,2),0)</f>
        <v>0</v>
      </c>
      <c r="AI234" s="82">
        <f>IFERROR(ROUNDDOWN(INDEX('90% of ACR'!R:R,MATCH(H:H,'90% of ACR'!A:A,0))*IF(J234&gt;0,IF(P234&gt;0,$R$4*MAX(P234-W234,0),0),0)/J234,2),0)</f>
        <v>0</v>
      </c>
      <c r="AJ234" s="45">
        <f t="shared" si="75"/>
        <v>0</v>
      </c>
      <c r="AK234" s="45">
        <f t="shared" si="75"/>
        <v>0</v>
      </c>
      <c r="AL234" s="47">
        <f t="shared" si="76"/>
        <v>0.28999999999999998</v>
      </c>
      <c r="AM234" s="47">
        <f t="shared" si="76"/>
        <v>0.79</v>
      </c>
      <c r="AN234" s="83">
        <f>IFERROR(INDEX('Fee Calc'!P:P,MATCH(C234,'Fee Calc'!F:F,0)),0)</f>
        <v>291878.42468961724</v>
      </c>
      <c r="AO234" s="83">
        <f>IFERROR(INDEX('Fee Calc'!Q:Q,MATCH(C234,'Fee Calc'!F:F,0)),0)</f>
        <v>18368.087857601626</v>
      </c>
      <c r="AP234" s="83">
        <f t="shared" si="77"/>
        <v>310246.51254721888</v>
      </c>
      <c r="AQ234" s="70">
        <f t="shared" si="78"/>
        <v>132485.18874606397</v>
      </c>
      <c r="AR234" s="70">
        <f t="shared" si="79"/>
        <v>66242.594373031985</v>
      </c>
      <c r="AS234" s="70">
        <f t="shared" si="80"/>
        <v>66242.594373031985</v>
      </c>
    </row>
    <row r="235" spans="1:45">
      <c r="A235" s="104" t="s">
        <v>1465</v>
      </c>
      <c r="B235" s="124" t="s">
        <v>1465</v>
      </c>
      <c r="C235" s="31" t="s">
        <v>1466</v>
      </c>
      <c r="D235" s="125" t="s">
        <v>1466</v>
      </c>
      <c r="E235" s="119" t="s">
        <v>2535</v>
      </c>
      <c r="F235" s="100" t="s">
        <v>2279</v>
      </c>
      <c r="G235" s="100" t="s">
        <v>300</v>
      </c>
      <c r="H235" s="43" t="str">
        <f t="shared" si="63"/>
        <v>Urban Harris</v>
      </c>
      <c r="I235" s="45">
        <f>INDEX('Fee Calc'!M:M,MATCH(C:C,'Fee Calc'!F:F,0))</f>
        <v>0</v>
      </c>
      <c r="J235" s="45">
        <f>INDEX('Fee Calc'!L:L,MATCH(C:C,'Fee Calc'!F:F,0))</f>
        <v>0</v>
      </c>
      <c r="K235" s="45">
        <f t="shared" si="64"/>
        <v>0</v>
      </c>
      <c r="L235" s="45">
        <v>26489.7</v>
      </c>
      <c r="M235" s="45">
        <v>0</v>
      </c>
      <c r="N235" s="45">
        <f t="shared" si="65"/>
        <v>26489.7</v>
      </c>
      <c r="O235" s="45">
        <v>16353.743698474324</v>
      </c>
      <c r="P235" s="45">
        <v>0</v>
      </c>
      <c r="Q235" s="45">
        <f t="shared" si="66"/>
        <v>16353.743698474324</v>
      </c>
      <c r="R235" s="45" t="str">
        <f t="shared" si="67"/>
        <v>Yes</v>
      </c>
      <c r="S235" s="46" t="str">
        <f t="shared" si="67"/>
        <v>No</v>
      </c>
      <c r="T235" s="47">
        <f>ROUND(INDEX(Summary!H:H,MATCH(H:H,Summary!A:A,0)),2)</f>
        <v>1.57</v>
      </c>
      <c r="U235" s="47">
        <f>ROUND(INDEX(Summary!I:I,MATCH(H:H,Summary!A:A,0)),2)</f>
        <v>0.3</v>
      </c>
      <c r="V235" s="81">
        <f t="shared" si="68"/>
        <v>0</v>
      </c>
      <c r="W235" s="81">
        <f t="shared" si="68"/>
        <v>0</v>
      </c>
      <c r="X235" s="45">
        <f t="shared" si="69"/>
        <v>0</v>
      </c>
      <c r="Y235" s="45" t="s">
        <v>2752</v>
      </c>
      <c r="Z235" s="45" t="str">
        <f t="shared" si="70"/>
        <v>No</v>
      </c>
      <c r="AA235" s="45" t="str">
        <f t="shared" si="70"/>
        <v>No</v>
      </c>
      <c r="AB235" s="45" t="str">
        <f t="shared" si="71"/>
        <v>No</v>
      </c>
      <c r="AC235" s="82">
        <f t="shared" si="72"/>
        <v>0</v>
      </c>
      <c r="AD235" s="82">
        <f t="shared" si="72"/>
        <v>0</v>
      </c>
      <c r="AE235" s="45">
        <f t="shared" si="73"/>
        <v>0</v>
      </c>
      <c r="AF235" s="45">
        <f t="shared" si="73"/>
        <v>0</v>
      </c>
      <c r="AG235" s="45">
        <f t="shared" si="74"/>
        <v>0</v>
      </c>
      <c r="AH235" s="47">
        <f>IFERROR(ROUNDDOWN(INDEX('90% of ACR'!K:K,MATCH(H:H,'90% of ACR'!A:A,0))*IF(I235&gt;0,IF(O235&gt;0,$R$4*MAX(O235-V235,0),0),0)/I235,2),0)</f>
        <v>0</v>
      </c>
      <c r="AI235" s="82">
        <f>IFERROR(ROUNDDOWN(INDEX('90% of ACR'!R:R,MATCH(H:H,'90% of ACR'!A:A,0))*IF(J235&gt;0,IF(P235&gt;0,$R$4*MAX(P235-W235,0),0),0)/J235,2),0)</f>
        <v>0</v>
      </c>
      <c r="AJ235" s="45">
        <f t="shared" si="75"/>
        <v>0</v>
      </c>
      <c r="AK235" s="45">
        <f t="shared" si="75"/>
        <v>0</v>
      </c>
      <c r="AL235" s="47">
        <f t="shared" si="76"/>
        <v>1.57</v>
      </c>
      <c r="AM235" s="47">
        <f t="shared" si="76"/>
        <v>0.3</v>
      </c>
      <c r="AN235" s="83">
        <f>IFERROR(INDEX('Fee Calc'!P:P,MATCH(C235,'Fee Calc'!F:F,0)),0)</f>
        <v>0</v>
      </c>
      <c r="AO235" s="83">
        <f>IFERROR(INDEX('Fee Calc'!Q:Q,MATCH(C235,'Fee Calc'!F:F,0)),0)</f>
        <v>0</v>
      </c>
      <c r="AP235" s="83">
        <f t="shared" si="77"/>
        <v>0</v>
      </c>
      <c r="AQ235" s="70">
        <f t="shared" si="78"/>
        <v>0</v>
      </c>
      <c r="AR235" s="70">
        <f t="shared" si="79"/>
        <v>0</v>
      </c>
      <c r="AS235" s="70">
        <f t="shared" si="80"/>
        <v>0</v>
      </c>
    </row>
    <row r="236" spans="1:45">
      <c r="A236" s="104" t="s">
        <v>1413</v>
      </c>
      <c r="B236" s="124" t="s">
        <v>1413</v>
      </c>
      <c r="C236" s="31" t="s">
        <v>1414</v>
      </c>
      <c r="D236" s="125" t="s">
        <v>1414</v>
      </c>
      <c r="E236" s="119" t="s">
        <v>2644</v>
      </c>
      <c r="F236" s="100" t="s">
        <v>2279</v>
      </c>
      <c r="G236" s="100" t="s">
        <v>223</v>
      </c>
      <c r="H236" s="43" t="str">
        <f t="shared" si="63"/>
        <v>Urban Dallas</v>
      </c>
      <c r="I236" s="45">
        <f>INDEX('Fee Calc'!M:M,MATCH(C:C,'Fee Calc'!F:F,0))</f>
        <v>274231.86946788814</v>
      </c>
      <c r="J236" s="45">
        <f>INDEX('Fee Calc'!L:L,MATCH(C:C,'Fee Calc'!F:F,0))</f>
        <v>0</v>
      </c>
      <c r="K236" s="45">
        <f t="shared" si="64"/>
        <v>274231.86946788814</v>
      </c>
      <c r="L236" s="45">
        <v>225226.7</v>
      </c>
      <c r="M236" s="45">
        <v>0</v>
      </c>
      <c r="N236" s="45">
        <f t="shared" si="65"/>
        <v>225226.7</v>
      </c>
      <c r="O236" s="45">
        <v>61733.134597984026</v>
      </c>
      <c r="P236" s="45">
        <v>0</v>
      </c>
      <c r="Q236" s="45">
        <f t="shared" si="66"/>
        <v>61733.134597984026</v>
      </c>
      <c r="R236" s="45" t="str">
        <f t="shared" si="67"/>
        <v>Yes</v>
      </c>
      <c r="S236" s="46" t="str">
        <f t="shared" si="67"/>
        <v>No</v>
      </c>
      <c r="T236" s="47">
        <f>ROUND(INDEX(Summary!H:H,MATCH(H:H,Summary!A:A,0)),2)</f>
        <v>0.54</v>
      </c>
      <c r="U236" s="47">
        <f>ROUND(INDEX(Summary!I:I,MATCH(H:H,Summary!A:A,0)),2)</f>
        <v>0.27</v>
      </c>
      <c r="V236" s="81">
        <f t="shared" si="68"/>
        <v>148085.20951265961</v>
      </c>
      <c r="W236" s="81">
        <f t="shared" si="68"/>
        <v>0</v>
      </c>
      <c r="X236" s="45">
        <f t="shared" si="69"/>
        <v>148085.20951265961</v>
      </c>
      <c r="Y236" s="45" t="s">
        <v>2752</v>
      </c>
      <c r="Z236" s="45" t="str">
        <f t="shared" si="70"/>
        <v>No</v>
      </c>
      <c r="AA236" s="45" t="str">
        <f t="shared" si="70"/>
        <v>No</v>
      </c>
      <c r="AB236" s="45" t="str">
        <f t="shared" si="71"/>
        <v>No</v>
      </c>
      <c r="AC236" s="82">
        <f t="shared" si="72"/>
        <v>0</v>
      </c>
      <c r="AD236" s="82">
        <f t="shared" si="72"/>
        <v>0</v>
      </c>
      <c r="AE236" s="45">
        <f t="shared" si="73"/>
        <v>0</v>
      </c>
      <c r="AF236" s="45">
        <f t="shared" si="73"/>
        <v>0</v>
      </c>
      <c r="AG236" s="45">
        <f t="shared" si="74"/>
        <v>0</v>
      </c>
      <c r="AH236" s="47">
        <f>IFERROR(ROUNDDOWN(INDEX('90% of ACR'!K:K,MATCH(H:H,'90% of ACR'!A:A,0))*IF(I236&gt;0,IF(O236&gt;0,$R$4*MAX(O236-V236,0),0),0)/I236,2),0)</f>
        <v>0</v>
      </c>
      <c r="AI236" s="82">
        <f>IFERROR(ROUNDDOWN(INDEX('90% of ACR'!R:R,MATCH(H:H,'90% of ACR'!A:A,0))*IF(J236&gt;0,IF(P236&gt;0,$R$4*MAX(P236-W236,0),0),0)/J236,2),0)</f>
        <v>0</v>
      </c>
      <c r="AJ236" s="45">
        <f t="shared" si="75"/>
        <v>0</v>
      </c>
      <c r="AK236" s="45">
        <f t="shared" si="75"/>
        <v>0</v>
      </c>
      <c r="AL236" s="47">
        <f t="shared" si="76"/>
        <v>0.54</v>
      </c>
      <c r="AM236" s="47">
        <f t="shared" si="76"/>
        <v>0.27</v>
      </c>
      <c r="AN236" s="83">
        <f>IFERROR(INDEX('Fee Calc'!P:P,MATCH(C236,'Fee Calc'!F:F,0)),0)</f>
        <v>148085.20951265961</v>
      </c>
      <c r="AO236" s="83">
        <f>IFERROR(INDEX('Fee Calc'!Q:Q,MATCH(C236,'Fee Calc'!F:F,0)),0)</f>
        <v>9452.2474157016786</v>
      </c>
      <c r="AP236" s="83">
        <f t="shared" si="77"/>
        <v>157537.45692836129</v>
      </c>
      <c r="AQ236" s="70">
        <f t="shared" si="78"/>
        <v>67273.535307031983</v>
      </c>
      <c r="AR236" s="70">
        <f t="shared" si="79"/>
        <v>33636.767653515992</v>
      </c>
      <c r="AS236" s="70">
        <f t="shared" si="80"/>
        <v>33636.767653515992</v>
      </c>
    </row>
    <row r="237" spans="1:45">
      <c r="A237" s="104" t="s">
        <v>1075</v>
      </c>
      <c r="B237" s="124" t="s">
        <v>1075</v>
      </c>
      <c r="C237" s="31" t="s">
        <v>1076</v>
      </c>
      <c r="D237" s="125" t="s">
        <v>1076</v>
      </c>
      <c r="E237" s="119" t="s">
        <v>2639</v>
      </c>
      <c r="F237" s="100" t="s">
        <v>2291</v>
      </c>
      <c r="G237" s="100" t="s">
        <v>1526</v>
      </c>
      <c r="H237" s="43" t="str">
        <f t="shared" si="63"/>
        <v>Rural Lubbock</v>
      </c>
      <c r="I237" s="45">
        <f>INDEX('Fee Calc'!M:M,MATCH(C:C,'Fee Calc'!F:F,0))</f>
        <v>28681.327671756375</v>
      </c>
      <c r="J237" s="45">
        <f>INDEX('Fee Calc'!L:L,MATCH(C:C,'Fee Calc'!F:F,0))</f>
        <v>360786.17326567043</v>
      </c>
      <c r="K237" s="45">
        <f t="shared" si="64"/>
        <v>389467.50093742681</v>
      </c>
      <c r="L237" s="45">
        <v>25613</v>
      </c>
      <c r="M237" s="45">
        <v>-37447.42</v>
      </c>
      <c r="N237" s="45">
        <f t="shared" si="65"/>
        <v>-11834.419999999998</v>
      </c>
      <c r="O237" s="45">
        <v>14238.448419595814</v>
      </c>
      <c r="P237" s="45">
        <v>58288.791156800988</v>
      </c>
      <c r="Q237" s="45">
        <f t="shared" si="66"/>
        <v>72527.239576396794</v>
      </c>
      <c r="R237" s="45" t="str">
        <f t="shared" si="67"/>
        <v>Yes</v>
      </c>
      <c r="S237" s="46" t="str">
        <f t="shared" si="67"/>
        <v>Yes</v>
      </c>
      <c r="T237" s="47">
        <f>ROUND(INDEX(Summary!H:H,MATCH(H:H,Summary!A:A,0)),2)</f>
        <v>0.49</v>
      </c>
      <c r="U237" s="47">
        <f>ROUND(INDEX(Summary!I:I,MATCH(H:H,Summary!A:A,0)),2)</f>
        <v>0.18</v>
      </c>
      <c r="V237" s="81">
        <f t="shared" si="68"/>
        <v>14053.850559160623</v>
      </c>
      <c r="W237" s="81">
        <f t="shared" si="68"/>
        <v>64941.511187820674</v>
      </c>
      <c r="X237" s="45">
        <f t="shared" si="69"/>
        <v>78995.361746981303</v>
      </c>
      <c r="Y237" s="45" t="s">
        <v>2752</v>
      </c>
      <c r="Z237" s="45" t="str">
        <f t="shared" si="70"/>
        <v>No</v>
      </c>
      <c r="AA237" s="45" t="str">
        <f t="shared" si="70"/>
        <v>No</v>
      </c>
      <c r="AB237" s="45" t="str">
        <f t="shared" si="71"/>
        <v>No</v>
      </c>
      <c r="AC237" s="82">
        <f t="shared" si="72"/>
        <v>0</v>
      </c>
      <c r="AD237" s="82">
        <f t="shared" si="72"/>
        <v>0</v>
      </c>
      <c r="AE237" s="45">
        <f t="shared" si="73"/>
        <v>0</v>
      </c>
      <c r="AF237" s="45">
        <f t="shared" si="73"/>
        <v>0</v>
      </c>
      <c r="AG237" s="45">
        <f t="shared" si="74"/>
        <v>0</v>
      </c>
      <c r="AH237" s="47">
        <f>IFERROR(ROUNDDOWN(INDEX('90% of ACR'!K:K,MATCH(H:H,'90% of ACR'!A:A,0))*IF(I237&gt;0,IF(O237&gt;0,$R$4*MAX(O237-V237,0),0),0)/I237,2),0)</f>
        <v>0</v>
      </c>
      <c r="AI237" s="82">
        <f>IFERROR(ROUNDDOWN(INDEX('90% of ACR'!R:R,MATCH(H:H,'90% of ACR'!A:A,0))*IF(J237&gt;0,IF(P237&gt;0,$R$4*MAX(P237-W237,0),0),0)/J237,2),0)</f>
        <v>0</v>
      </c>
      <c r="AJ237" s="45">
        <f t="shared" si="75"/>
        <v>0</v>
      </c>
      <c r="AK237" s="45">
        <f t="shared" si="75"/>
        <v>0</v>
      </c>
      <c r="AL237" s="47">
        <f t="shared" si="76"/>
        <v>0.49</v>
      </c>
      <c r="AM237" s="47">
        <f t="shared" si="76"/>
        <v>0.18</v>
      </c>
      <c r="AN237" s="83">
        <f>IFERROR(INDEX('Fee Calc'!P:P,MATCH(C237,'Fee Calc'!F:F,0)),0)</f>
        <v>78995.361746981303</v>
      </c>
      <c r="AO237" s="83">
        <f>IFERROR(INDEX('Fee Calc'!Q:Q,MATCH(C237,'Fee Calc'!F:F,0)),0)</f>
        <v>4855.6867249573306</v>
      </c>
      <c r="AP237" s="83">
        <f t="shared" si="77"/>
        <v>83851.04847193863</v>
      </c>
      <c r="AQ237" s="70">
        <f t="shared" si="78"/>
        <v>35807.0809310689</v>
      </c>
      <c r="AR237" s="70">
        <f t="shared" si="79"/>
        <v>17903.54046553445</v>
      </c>
      <c r="AS237" s="70">
        <f t="shared" si="80"/>
        <v>17903.54046553445</v>
      </c>
    </row>
    <row r="238" spans="1:45">
      <c r="A238" s="104" t="s">
        <v>1444</v>
      </c>
      <c r="B238" s="124" t="s">
        <v>1444</v>
      </c>
      <c r="C238" s="31" t="s">
        <v>1445</v>
      </c>
      <c r="D238" s="125" t="s">
        <v>1445</v>
      </c>
      <c r="E238" s="119" t="s">
        <v>2646</v>
      </c>
      <c r="F238" s="100" t="s">
        <v>2279</v>
      </c>
      <c r="G238" s="100" t="s">
        <v>223</v>
      </c>
      <c r="H238" s="43" t="str">
        <f t="shared" si="63"/>
        <v>Urban Dallas</v>
      </c>
      <c r="I238" s="45">
        <f>INDEX('Fee Calc'!M:M,MATCH(C:C,'Fee Calc'!F:F,0))</f>
        <v>59243.757363560289</v>
      </c>
      <c r="J238" s="45">
        <f>INDEX('Fee Calc'!L:L,MATCH(C:C,'Fee Calc'!F:F,0))</f>
        <v>0</v>
      </c>
      <c r="K238" s="45">
        <f t="shared" si="64"/>
        <v>59243.757363560289</v>
      </c>
      <c r="L238" s="45">
        <v>84907.7</v>
      </c>
      <c r="M238" s="45">
        <v>0</v>
      </c>
      <c r="N238" s="45">
        <f t="shared" si="65"/>
        <v>84907.7</v>
      </c>
      <c r="O238" s="45">
        <v>33921.0316497311</v>
      </c>
      <c r="P238" s="45">
        <v>0</v>
      </c>
      <c r="Q238" s="45">
        <f t="shared" si="66"/>
        <v>33921.0316497311</v>
      </c>
      <c r="R238" s="45" t="str">
        <f t="shared" si="67"/>
        <v>Yes</v>
      </c>
      <c r="S238" s="46" t="str">
        <f t="shared" si="67"/>
        <v>No</v>
      </c>
      <c r="T238" s="47">
        <f>ROUND(INDEX(Summary!H:H,MATCH(H:H,Summary!A:A,0)),2)</f>
        <v>0.54</v>
      </c>
      <c r="U238" s="47">
        <f>ROUND(INDEX(Summary!I:I,MATCH(H:H,Summary!A:A,0)),2)</f>
        <v>0.27</v>
      </c>
      <c r="V238" s="81">
        <f t="shared" si="68"/>
        <v>31991.628976322558</v>
      </c>
      <c r="W238" s="81">
        <f t="shared" si="68"/>
        <v>0</v>
      </c>
      <c r="X238" s="45">
        <f t="shared" si="69"/>
        <v>31991.628976322558</v>
      </c>
      <c r="Y238" s="45" t="s">
        <v>2752</v>
      </c>
      <c r="Z238" s="45" t="str">
        <f t="shared" si="70"/>
        <v>Yes</v>
      </c>
      <c r="AA238" s="45" t="str">
        <f t="shared" si="70"/>
        <v>No</v>
      </c>
      <c r="AB238" s="45" t="str">
        <f t="shared" si="71"/>
        <v>Yes</v>
      </c>
      <c r="AC238" s="82">
        <f t="shared" si="72"/>
        <v>0.02</v>
      </c>
      <c r="AD238" s="82">
        <f t="shared" si="72"/>
        <v>0</v>
      </c>
      <c r="AE238" s="45">
        <f t="shared" si="73"/>
        <v>1184.8751472712058</v>
      </c>
      <c r="AF238" s="45">
        <f t="shared" si="73"/>
        <v>0</v>
      </c>
      <c r="AG238" s="45">
        <f t="shared" si="74"/>
        <v>1184.8751472712058</v>
      </c>
      <c r="AH238" s="47">
        <f>IFERROR(ROUNDDOWN(INDEX('90% of ACR'!K:K,MATCH(H:H,'90% of ACR'!A:A,0))*IF(I238&gt;0,IF(O238&gt;0,$R$4*MAX(O238-V238,0),0),0)/I238,2),0)</f>
        <v>0.02</v>
      </c>
      <c r="AI238" s="82">
        <f>IFERROR(ROUNDDOWN(INDEX('90% of ACR'!R:R,MATCH(H:H,'90% of ACR'!A:A,0))*IF(J238&gt;0,IF(P238&gt;0,$R$4*MAX(P238-W238,0),0),0)/J238,2),0)</f>
        <v>0</v>
      </c>
      <c r="AJ238" s="45">
        <f t="shared" si="75"/>
        <v>1184.8751472712058</v>
      </c>
      <c r="AK238" s="45">
        <f t="shared" si="75"/>
        <v>0</v>
      </c>
      <c r="AL238" s="47">
        <f t="shared" si="76"/>
        <v>0.56000000000000005</v>
      </c>
      <c r="AM238" s="47">
        <f t="shared" si="76"/>
        <v>0.27</v>
      </c>
      <c r="AN238" s="83">
        <f>IFERROR(INDEX('Fee Calc'!P:P,MATCH(C238,'Fee Calc'!F:F,0)),0)</f>
        <v>33176.504123593768</v>
      </c>
      <c r="AO238" s="83">
        <f>IFERROR(INDEX('Fee Calc'!Q:Q,MATCH(C238,'Fee Calc'!F:F,0)),0)</f>
        <v>2117.6491993783261</v>
      </c>
      <c r="AP238" s="83">
        <f t="shared" si="77"/>
        <v>35294.153322972095</v>
      </c>
      <c r="AQ238" s="70">
        <f t="shared" si="78"/>
        <v>15071.73288181542</v>
      </c>
      <c r="AR238" s="70">
        <f t="shared" si="79"/>
        <v>7535.8664409077101</v>
      </c>
      <c r="AS238" s="70">
        <f t="shared" si="80"/>
        <v>7535.8664409077101</v>
      </c>
    </row>
    <row r="239" spans="1:45">
      <c r="A239" s="104" t="s">
        <v>10</v>
      </c>
      <c r="B239" s="124" t="s">
        <v>10</v>
      </c>
      <c r="C239" s="31" t="s">
        <v>11</v>
      </c>
      <c r="D239" s="125" t="s">
        <v>11</v>
      </c>
      <c r="E239" s="119" t="s">
        <v>2870</v>
      </c>
      <c r="F239" s="100" t="s">
        <v>2291</v>
      </c>
      <c r="G239" s="100" t="s">
        <v>227</v>
      </c>
      <c r="H239" s="43" t="str">
        <f t="shared" si="63"/>
        <v>Rural MRSA West</v>
      </c>
      <c r="I239" s="45">
        <f>INDEX('Fee Calc'!M:M,MATCH(C:C,'Fee Calc'!F:F,0))</f>
        <v>34914.704135427419</v>
      </c>
      <c r="J239" s="45">
        <f>INDEX('Fee Calc'!L:L,MATCH(C:C,'Fee Calc'!F:F,0))</f>
        <v>134774.42392712232</v>
      </c>
      <c r="K239" s="45">
        <f t="shared" si="64"/>
        <v>169689.12806254975</v>
      </c>
      <c r="L239" s="45">
        <v>56353.5</v>
      </c>
      <c r="M239" s="45">
        <v>106488.79</v>
      </c>
      <c r="N239" s="45">
        <f t="shared" si="65"/>
        <v>162842.28999999998</v>
      </c>
      <c r="O239" s="45">
        <v>-12912.960972972971</v>
      </c>
      <c r="P239" s="45">
        <v>3509.153726511322</v>
      </c>
      <c r="Q239" s="45">
        <f t="shared" si="66"/>
        <v>-9403.8072464616489</v>
      </c>
      <c r="R239" s="45" t="str">
        <f t="shared" si="67"/>
        <v>No</v>
      </c>
      <c r="S239" s="46" t="str">
        <f t="shared" si="67"/>
        <v>Yes</v>
      </c>
      <c r="T239" s="47">
        <f>ROUND(INDEX(Summary!H:H,MATCH(H:H,Summary!A:A,0)),2)</f>
        <v>0</v>
      </c>
      <c r="U239" s="47">
        <f>ROUND(INDEX(Summary!I:I,MATCH(H:H,Summary!A:A,0)),2)</f>
        <v>0.2</v>
      </c>
      <c r="V239" s="81">
        <f t="shared" si="68"/>
        <v>0</v>
      </c>
      <c r="W239" s="81">
        <f t="shared" si="68"/>
        <v>26954.884785424467</v>
      </c>
      <c r="X239" s="45">
        <f t="shared" si="69"/>
        <v>26954.884785424467</v>
      </c>
      <c r="Y239" s="45" t="s">
        <v>2752</v>
      </c>
      <c r="Z239" s="45" t="str">
        <f t="shared" si="70"/>
        <v>No</v>
      </c>
      <c r="AA239" s="45" t="str">
        <f t="shared" si="70"/>
        <v>No</v>
      </c>
      <c r="AB239" s="45" t="str">
        <f t="shared" si="71"/>
        <v>No</v>
      </c>
      <c r="AC239" s="82">
        <f t="shared" si="72"/>
        <v>0</v>
      </c>
      <c r="AD239" s="82">
        <f t="shared" si="72"/>
        <v>0</v>
      </c>
      <c r="AE239" s="45">
        <f t="shared" si="73"/>
        <v>0</v>
      </c>
      <c r="AF239" s="45">
        <f t="shared" si="73"/>
        <v>0</v>
      </c>
      <c r="AG239" s="45">
        <f t="shared" si="74"/>
        <v>0</v>
      </c>
      <c r="AH239" s="47">
        <f>IFERROR(ROUNDDOWN(INDEX('90% of ACR'!K:K,MATCH(H:H,'90% of ACR'!A:A,0))*IF(I239&gt;0,IF(O239&gt;0,$R$4*MAX(O239-V239,0),0),0)/I239,2),0)</f>
        <v>0</v>
      </c>
      <c r="AI239" s="82">
        <f>IFERROR(ROUNDDOWN(INDEX('90% of ACR'!R:R,MATCH(H:H,'90% of ACR'!A:A,0))*IF(J239&gt;0,IF(P239&gt;0,$R$4*MAX(P239-W239,0),0),0)/J239,2),0)</f>
        <v>0</v>
      </c>
      <c r="AJ239" s="45">
        <f t="shared" si="75"/>
        <v>0</v>
      </c>
      <c r="AK239" s="45">
        <f t="shared" si="75"/>
        <v>0</v>
      </c>
      <c r="AL239" s="47">
        <f t="shared" si="76"/>
        <v>0</v>
      </c>
      <c r="AM239" s="47">
        <f t="shared" si="76"/>
        <v>0.2</v>
      </c>
      <c r="AN239" s="83">
        <f>IFERROR(INDEX('Fee Calc'!P:P,MATCH(C239,'Fee Calc'!F:F,0)),0)</f>
        <v>26954.884785424467</v>
      </c>
      <c r="AO239" s="83">
        <f>IFERROR(INDEX('Fee Calc'!Q:Q,MATCH(C239,'Fee Calc'!F:F,0)),0)</f>
        <v>1671.7355446060064</v>
      </c>
      <c r="AP239" s="83">
        <f t="shared" si="77"/>
        <v>28626.620330030473</v>
      </c>
      <c r="AQ239" s="70">
        <f t="shared" si="78"/>
        <v>12224.482932773573</v>
      </c>
      <c r="AR239" s="70">
        <f t="shared" si="79"/>
        <v>6112.2414663867867</v>
      </c>
      <c r="AS239" s="70">
        <f t="shared" si="80"/>
        <v>6112.2414663867867</v>
      </c>
    </row>
    <row r="240" spans="1:45">
      <c r="A240" s="104" t="s">
        <v>1447</v>
      </c>
      <c r="B240" s="124" t="s">
        <v>1447</v>
      </c>
      <c r="C240" s="31" t="s">
        <v>1448</v>
      </c>
      <c r="D240" s="125" t="s">
        <v>1448</v>
      </c>
      <c r="E240" s="119" t="s">
        <v>2647</v>
      </c>
      <c r="F240" s="100" t="s">
        <v>2279</v>
      </c>
      <c r="G240" s="100" t="s">
        <v>1202</v>
      </c>
      <c r="H240" s="43" t="str">
        <f t="shared" si="63"/>
        <v>Urban Travis</v>
      </c>
      <c r="I240" s="45">
        <f>INDEX('Fee Calc'!M:M,MATCH(C:C,'Fee Calc'!F:F,0))</f>
        <v>387703.4178423112</v>
      </c>
      <c r="J240" s="45">
        <f>INDEX('Fee Calc'!L:L,MATCH(C:C,'Fee Calc'!F:F,0))</f>
        <v>0</v>
      </c>
      <c r="K240" s="45">
        <f t="shared" si="64"/>
        <v>387703.4178423112</v>
      </c>
      <c r="L240" s="45">
        <v>459747.78</v>
      </c>
      <c r="M240" s="45">
        <v>0</v>
      </c>
      <c r="N240" s="45">
        <f t="shared" si="65"/>
        <v>459747.78</v>
      </c>
      <c r="O240" s="45">
        <v>163835.2737334448</v>
      </c>
      <c r="P240" s="45">
        <v>0</v>
      </c>
      <c r="Q240" s="45">
        <f t="shared" si="66"/>
        <v>163835.2737334448</v>
      </c>
      <c r="R240" s="45" t="str">
        <f t="shared" si="67"/>
        <v>Yes</v>
      </c>
      <c r="S240" s="46" t="str">
        <f t="shared" si="67"/>
        <v>No</v>
      </c>
      <c r="T240" s="47">
        <f>ROUND(INDEX(Summary!H:H,MATCH(H:H,Summary!A:A,0)),2)</f>
        <v>0.35</v>
      </c>
      <c r="U240" s="47">
        <f>ROUND(INDEX(Summary!I:I,MATCH(H:H,Summary!A:A,0)),2)</f>
        <v>0.92</v>
      </c>
      <c r="V240" s="81">
        <f t="shared" si="68"/>
        <v>135696.1962448089</v>
      </c>
      <c r="W240" s="81">
        <f t="shared" si="68"/>
        <v>0</v>
      </c>
      <c r="X240" s="45">
        <f t="shared" si="69"/>
        <v>135696.1962448089</v>
      </c>
      <c r="Y240" s="45" t="s">
        <v>2752</v>
      </c>
      <c r="Z240" s="45" t="str">
        <f t="shared" si="70"/>
        <v>Yes</v>
      </c>
      <c r="AA240" s="45" t="str">
        <f t="shared" si="70"/>
        <v>No</v>
      </c>
      <c r="AB240" s="45" t="str">
        <f t="shared" si="71"/>
        <v>Yes</v>
      </c>
      <c r="AC240" s="82">
        <f t="shared" si="72"/>
        <v>0.05</v>
      </c>
      <c r="AD240" s="82">
        <f t="shared" si="72"/>
        <v>0</v>
      </c>
      <c r="AE240" s="45">
        <f t="shared" si="73"/>
        <v>19385.170892115562</v>
      </c>
      <c r="AF240" s="45">
        <f t="shared" si="73"/>
        <v>0</v>
      </c>
      <c r="AG240" s="45">
        <f t="shared" si="74"/>
        <v>19385.170892115562</v>
      </c>
      <c r="AH240" s="47">
        <f>IFERROR(ROUNDDOWN(INDEX('90% of ACR'!K:K,MATCH(H:H,'90% of ACR'!A:A,0))*IF(I240&gt;0,IF(O240&gt;0,$R$4*MAX(O240-V240,0),0),0)/I240,2),0)</f>
        <v>0.05</v>
      </c>
      <c r="AI240" s="82">
        <f>IFERROR(ROUNDDOWN(INDEX('90% of ACR'!R:R,MATCH(H:H,'90% of ACR'!A:A,0))*IF(J240&gt;0,IF(P240&gt;0,$R$4*MAX(P240-W240,0),0),0)/J240,2),0)</f>
        <v>0</v>
      </c>
      <c r="AJ240" s="45">
        <f t="shared" si="75"/>
        <v>19385.170892115562</v>
      </c>
      <c r="AK240" s="45">
        <f t="shared" si="75"/>
        <v>0</v>
      </c>
      <c r="AL240" s="47">
        <f t="shared" si="76"/>
        <v>0.39999999999999997</v>
      </c>
      <c r="AM240" s="47">
        <f t="shared" si="76"/>
        <v>0.92</v>
      </c>
      <c r="AN240" s="83">
        <f>IFERROR(INDEX('Fee Calc'!P:P,MATCH(C240,'Fee Calc'!F:F,0)),0)</f>
        <v>155081.36713692447</v>
      </c>
      <c r="AO240" s="83">
        <f>IFERROR(INDEX('Fee Calc'!Q:Q,MATCH(C240,'Fee Calc'!F:F,0)),0)</f>
        <v>9657.1462176986206</v>
      </c>
      <c r="AP240" s="83">
        <f t="shared" si="77"/>
        <v>164738.51335462308</v>
      </c>
      <c r="AQ240" s="70">
        <f t="shared" si="78"/>
        <v>70348.616834851404</v>
      </c>
      <c r="AR240" s="70">
        <f t="shared" si="79"/>
        <v>35174.308417425702</v>
      </c>
      <c r="AS240" s="70">
        <f t="shared" si="80"/>
        <v>35174.308417425702</v>
      </c>
    </row>
    <row r="241" spans="1:45">
      <c r="A241" s="104" t="s">
        <v>2957</v>
      </c>
      <c r="B241" s="124" t="s">
        <v>2957</v>
      </c>
      <c r="C241" s="31" t="s">
        <v>2952</v>
      </c>
      <c r="D241" s="125" t="s">
        <v>2952</v>
      </c>
      <c r="E241" s="119" t="s">
        <v>2871</v>
      </c>
      <c r="F241" s="100" t="s">
        <v>2279</v>
      </c>
      <c r="G241" s="100" t="s">
        <v>227</v>
      </c>
      <c r="H241" s="43" t="str">
        <f t="shared" si="63"/>
        <v>Urban MRSA West</v>
      </c>
      <c r="I241" s="45">
        <f>INDEX('Fee Calc'!M:M,MATCH(C:C,'Fee Calc'!F:F,0))</f>
        <v>0</v>
      </c>
      <c r="J241" s="45">
        <f>INDEX('Fee Calc'!L:L,MATCH(C:C,'Fee Calc'!F:F,0))</f>
        <v>0</v>
      </c>
      <c r="K241" s="45">
        <f t="shared" si="64"/>
        <v>0</v>
      </c>
      <c r="L241" s="45">
        <v>0</v>
      </c>
      <c r="M241" s="45">
        <v>0</v>
      </c>
      <c r="N241" s="45">
        <f t="shared" si="65"/>
        <v>0</v>
      </c>
      <c r="O241" s="45">
        <v>0</v>
      </c>
      <c r="P241" s="45">
        <v>0</v>
      </c>
      <c r="Q241" s="45">
        <f t="shared" si="66"/>
        <v>0</v>
      </c>
      <c r="R241" s="45" t="str">
        <f t="shared" si="67"/>
        <v>No</v>
      </c>
      <c r="S241" s="46" t="str">
        <f t="shared" si="67"/>
        <v>No</v>
      </c>
      <c r="T241" s="47">
        <f>ROUND(INDEX(Summary!H:H,MATCH(H:H,Summary!A:A,0)),2)</f>
        <v>0.28999999999999998</v>
      </c>
      <c r="U241" s="47">
        <f>ROUND(INDEX(Summary!I:I,MATCH(H:H,Summary!A:A,0)),2)</f>
        <v>0.79</v>
      </c>
      <c r="V241" s="81">
        <f t="shared" si="68"/>
        <v>0</v>
      </c>
      <c r="W241" s="81">
        <f t="shared" si="68"/>
        <v>0</v>
      </c>
      <c r="X241" s="45">
        <f t="shared" si="69"/>
        <v>0</v>
      </c>
      <c r="Y241" s="45" t="s">
        <v>2752</v>
      </c>
      <c r="Z241" s="45" t="str">
        <f t="shared" si="70"/>
        <v>No</v>
      </c>
      <c r="AA241" s="45" t="str">
        <f t="shared" si="70"/>
        <v>No</v>
      </c>
      <c r="AB241" s="45" t="str">
        <f t="shared" si="71"/>
        <v>No</v>
      </c>
      <c r="AC241" s="82">
        <f t="shared" si="72"/>
        <v>0</v>
      </c>
      <c r="AD241" s="82">
        <f t="shared" si="72"/>
        <v>0</v>
      </c>
      <c r="AE241" s="45">
        <f t="shared" si="73"/>
        <v>0</v>
      </c>
      <c r="AF241" s="45">
        <f t="shared" si="73"/>
        <v>0</v>
      </c>
      <c r="AG241" s="45">
        <f t="shared" si="74"/>
        <v>0</v>
      </c>
      <c r="AH241" s="47">
        <f>IFERROR(ROUNDDOWN(INDEX('90% of ACR'!K:K,MATCH(H:H,'90% of ACR'!A:A,0))*IF(I241&gt;0,IF(O241&gt;0,$R$4*MAX(O241-V241,0),0),0)/I241,2),0)</f>
        <v>0</v>
      </c>
      <c r="AI241" s="82">
        <f>IFERROR(ROUNDDOWN(INDEX('90% of ACR'!R:R,MATCH(H:H,'90% of ACR'!A:A,0))*IF(J241&gt;0,IF(P241&gt;0,$R$4*MAX(P241-W241,0),0),0)/J241,2),0)</f>
        <v>0</v>
      </c>
      <c r="AJ241" s="45">
        <f t="shared" si="75"/>
        <v>0</v>
      </c>
      <c r="AK241" s="45">
        <f t="shared" si="75"/>
        <v>0</v>
      </c>
      <c r="AL241" s="47">
        <f t="shared" si="76"/>
        <v>0.28999999999999998</v>
      </c>
      <c r="AM241" s="47">
        <f t="shared" si="76"/>
        <v>0.79</v>
      </c>
      <c r="AN241" s="83">
        <f>IFERROR(INDEX('Fee Calc'!P:P,MATCH(C241,'Fee Calc'!F:F,0)),0)</f>
        <v>0</v>
      </c>
      <c r="AO241" s="83">
        <f>IFERROR(INDEX('Fee Calc'!Q:Q,MATCH(C241,'Fee Calc'!F:F,0)),0)</f>
        <v>0</v>
      </c>
      <c r="AP241" s="83">
        <f t="shared" si="77"/>
        <v>0</v>
      </c>
      <c r="AQ241" s="70">
        <f t="shared" si="78"/>
        <v>0</v>
      </c>
      <c r="AR241" s="70">
        <f t="shared" si="79"/>
        <v>0</v>
      </c>
      <c r="AS241" s="70">
        <f t="shared" si="80"/>
        <v>0</v>
      </c>
    </row>
    <row r="242" spans="1:45">
      <c r="A242" s="104" t="s">
        <v>1462</v>
      </c>
      <c r="B242" s="124" t="s">
        <v>1462</v>
      </c>
      <c r="C242" s="31" t="s">
        <v>1463</v>
      </c>
      <c r="D242" s="125" t="s">
        <v>1463</v>
      </c>
      <c r="E242" s="119" t="s">
        <v>2648</v>
      </c>
      <c r="F242" s="100" t="s">
        <v>2279</v>
      </c>
      <c r="G242" s="100" t="s">
        <v>487</v>
      </c>
      <c r="H242" s="43" t="str">
        <f t="shared" si="63"/>
        <v>Urban Bexar</v>
      </c>
      <c r="I242" s="45">
        <f>INDEX('Fee Calc'!M:M,MATCH(C:C,'Fee Calc'!F:F,0))</f>
        <v>638544.91564594745</v>
      </c>
      <c r="J242" s="45">
        <f>INDEX('Fee Calc'!L:L,MATCH(C:C,'Fee Calc'!F:F,0))</f>
        <v>0</v>
      </c>
      <c r="K242" s="45">
        <f t="shared" si="64"/>
        <v>638544.91564594745</v>
      </c>
      <c r="L242" s="45">
        <v>382109.25</v>
      </c>
      <c r="M242" s="45">
        <v>0</v>
      </c>
      <c r="N242" s="45">
        <f t="shared" si="65"/>
        <v>382109.25</v>
      </c>
      <c r="O242" s="45">
        <v>35526.393335515691</v>
      </c>
      <c r="P242" s="45">
        <v>0</v>
      </c>
      <c r="Q242" s="45">
        <f t="shared" si="66"/>
        <v>35526.393335515691</v>
      </c>
      <c r="R242" s="45" t="str">
        <f t="shared" si="67"/>
        <v>Yes</v>
      </c>
      <c r="S242" s="46" t="str">
        <f t="shared" si="67"/>
        <v>No</v>
      </c>
      <c r="T242" s="47">
        <f>ROUND(INDEX(Summary!H:H,MATCH(H:H,Summary!A:A,0)),2)</f>
        <v>0.4</v>
      </c>
      <c r="U242" s="47">
        <f>ROUND(INDEX(Summary!I:I,MATCH(H:H,Summary!A:A,0)),2)</f>
        <v>0.45</v>
      </c>
      <c r="V242" s="81">
        <f t="shared" si="68"/>
        <v>255417.96625837899</v>
      </c>
      <c r="W242" s="81">
        <f t="shared" si="68"/>
        <v>0</v>
      </c>
      <c r="X242" s="45">
        <f t="shared" si="69"/>
        <v>255417.96625837899</v>
      </c>
      <c r="Y242" s="45" t="s">
        <v>2752</v>
      </c>
      <c r="Z242" s="45" t="str">
        <f t="shared" si="70"/>
        <v>No</v>
      </c>
      <c r="AA242" s="45" t="str">
        <f t="shared" si="70"/>
        <v>No</v>
      </c>
      <c r="AB242" s="45" t="str">
        <f t="shared" si="71"/>
        <v>No</v>
      </c>
      <c r="AC242" s="82">
        <f t="shared" si="72"/>
        <v>0</v>
      </c>
      <c r="AD242" s="82">
        <f t="shared" si="72"/>
        <v>0</v>
      </c>
      <c r="AE242" s="45">
        <f t="shared" si="73"/>
        <v>0</v>
      </c>
      <c r="AF242" s="45">
        <f t="shared" si="73"/>
        <v>0</v>
      </c>
      <c r="AG242" s="45">
        <f t="shared" si="74"/>
        <v>0</v>
      </c>
      <c r="AH242" s="47">
        <f>IFERROR(ROUNDDOWN(INDEX('90% of ACR'!K:K,MATCH(H:H,'90% of ACR'!A:A,0))*IF(I242&gt;0,IF(O242&gt;0,$R$4*MAX(O242-V242,0),0),0)/I242,2),0)</f>
        <v>0</v>
      </c>
      <c r="AI242" s="82">
        <f>IFERROR(ROUNDDOWN(INDEX('90% of ACR'!R:R,MATCH(H:H,'90% of ACR'!A:A,0))*IF(J242&gt;0,IF(P242&gt;0,$R$4*MAX(P242-W242,0),0),0)/J242,2),0)</f>
        <v>0</v>
      </c>
      <c r="AJ242" s="45">
        <f t="shared" si="75"/>
        <v>0</v>
      </c>
      <c r="AK242" s="45">
        <f t="shared" si="75"/>
        <v>0</v>
      </c>
      <c r="AL242" s="47">
        <f t="shared" si="76"/>
        <v>0.4</v>
      </c>
      <c r="AM242" s="47">
        <f t="shared" si="76"/>
        <v>0.45</v>
      </c>
      <c r="AN242" s="83">
        <f>IFERROR(INDEX('Fee Calc'!P:P,MATCH(C242,'Fee Calc'!F:F,0)),0)</f>
        <v>255417.96625837899</v>
      </c>
      <c r="AO242" s="83">
        <f>IFERROR(INDEX('Fee Calc'!Q:Q,MATCH(C242,'Fee Calc'!F:F,0)),0)</f>
        <v>16015.605772765219</v>
      </c>
      <c r="AP242" s="83">
        <f t="shared" si="77"/>
        <v>271433.57203114423</v>
      </c>
      <c r="AQ242" s="70">
        <f t="shared" si="78"/>
        <v>115910.82113160357</v>
      </c>
      <c r="AR242" s="70">
        <f t="shared" si="79"/>
        <v>57955.410565801787</v>
      </c>
      <c r="AS242" s="70">
        <f t="shared" si="80"/>
        <v>57955.410565801787</v>
      </c>
    </row>
    <row r="243" spans="1:45">
      <c r="A243" s="104" t="s">
        <v>1050</v>
      </c>
      <c r="B243" s="124" t="s">
        <v>1050</v>
      </c>
      <c r="C243" s="31" t="s">
        <v>1051</v>
      </c>
      <c r="D243" s="125" t="s">
        <v>1051</v>
      </c>
      <c r="E243" s="119" t="s">
        <v>2597</v>
      </c>
      <c r="F243" s="100" t="s">
        <v>2291</v>
      </c>
      <c r="G243" s="100" t="s">
        <v>1486</v>
      </c>
      <c r="H243" s="43" t="str">
        <f t="shared" si="63"/>
        <v>Rural MRSA Central</v>
      </c>
      <c r="I243" s="45">
        <f>INDEX('Fee Calc'!M:M,MATCH(C:C,'Fee Calc'!F:F,0))</f>
        <v>27075.688822336757</v>
      </c>
      <c r="J243" s="45">
        <f>INDEX('Fee Calc'!L:L,MATCH(C:C,'Fee Calc'!F:F,0))</f>
        <v>309373.15770175064</v>
      </c>
      <c r="K243" s="45">
        <f t="shared" si="64"/>
        <v>336448.84652408736</v>
      </c>
      <c r="L243" s="45">
        <v>15253.48</v>
      </c>
      <c r="M243" s="45">
        <v>123598.08</v>
      </c>
      <c r="N243" s="45">
        <f t="shared" si="65"/>
        <v>138851.56</v>
      </c>
      <c r="O243" s="45">
        <v>2443.5809612194425</v>
      </c>
      <c r="P243" s="45">
        <v>131283.53189534167</v>
      </c>
      <c r="Q243" s="45">
        <f t="shared" si="66"/>
        <v>133727.11285656111</v>
      </c>
      <c r="R243" s="45" t="str">
        <f t="shared" si="67"/>
        <v>Yes</v>
      </c>
      <c r="S243" s="46" t="str">
        <f t="shared" si="67"/>
        <v>Yes</v>
      </c>
      <c r="T243" s="47">
        <f>ROUND(INDEX(Summary!H:H,MATCH(H:H,Summary!A:A,0)),2)</f>
        <v>0.09</v>
      </c>
      <c r="U243" s="47">
        <f>ROUND(INDEX(Summary!I:I,MATCH(H:H,Summary!A:A,0)),2)</f>
        <v>0.09</v>
      </c>
      <c r="V243" s="81">
        <f t="shared" si="68"/>
        <v>2436.8119940103079</v>
      </c>
      <c r="W243" s="81">
        <f t="shared" si="68"/>
        <v>27843.584193157556</v>
      </c>
      <c r="X243" s="45">
        <f t="shared" si="69"/>
        <v>30280.396187167862</v>
      </c>
      <c r="Y243" s="45" t="s">
        <v>2752</v>
      </c>
      <c r="Z243" s="45" t="str">
        <f t="shared" si="70"/>
        <v>No</v>
      </c>
      <c r="AA243" s="45" t="str">
        <f t="shared" si="70"/>
        <v>Yes</v>
      </c>
      <c r="AB243" s="45" t="str">
        <f t="shared" si="71"/>
        <v>Yes</v>
      </c>
      <c r="AC243" s="82">
        <f t="shared" si="72"/>
        <v>0</v>
      </c>
      <c r="AD243" s="82">
        <f t="shared" si="72"/>
        <v>0.23</v>
      </c>
      <c r="AE243" s="45">
        <f t="shared" si="73"/>
        <v>0</v>
      </c>
      <c r="AF243" s="45">
        <f t="shared" si="73"/>
        <v>71155.82627140265</v>
      </c>
      <c r="AG243" s="45">
        <f t="shared" si="74"/>
        <v>71155.82627140265</v>
      </c>
      <c r="AH243" s="47">
        <f>IFERROR(ROUNDDOWN(INDEX('90% of ACR'!K:K,MATCH(H:H,'90% of ACR'!A:A,0))*IF(I243&gt;0,IF(O243&gt;0,$R$4*MAX(O243-V243,0),0),0)/I243,2),0)</f>
        <v>0</v>
      </c>
      <c r="AI243" s="82">
        <f>IFERROR(ROUNDDOWN(INDEX('90% of ACR'!R:R,MATCH(H:H,'90% of ACR'!A:A,0))*IF(J243&gt;0,IF(P243&gt;0,$R$4*MAX(P243-W243,0),0),0)/J243,2),0)</f>
        <v>0.23</v>
      </c>
      <c r="AJ243" s="45">
        <f t="shared" si="75"/>
        <v>0</v>
      </c>
      <c r="AK243" s="45">
        <f t="shared" si="75"/>
        <v>71155.82627140265</v>
      </c>
      <c r="AL243" s="47">
        <f t="shared" si="76"/>
        <v>0.09</v>
      </c>
      <c r="AM243" s="47">
        <f t="shared" si="76"/>
        <v>0.32</v>
      </c>
      <c r="AN243" s="83">
        <f>IFERROR(INDEX('Fee Calc'!P:P,MATCH(C243,'Fee Calc'!F:F,0)),0)</f>
        <v>101436.22245857051</v>
      </c>
      <c r="AO243" s="83">
        <f>IFERROR(INDEX('Fee Calc'!Q:Q,MATCH(C243,'Fee Calc'!F:F,0)),0)</f>
        <v>6258.1408418610454</v>
      </c>
      <c r="AP243" s="83">
        <f t="shared" si="77"/>
        <v>107694.36330043156</v>
      </c>
      <c r="AQ243" s="70">
        <f t="shared" si="78"/>
        <v>45988.939348909887</v>
      </c>
      <c r="AR243" s="70">
        <f t="shared" si="79"/>
        <v>22994.469674454944</v>
      </c>
      <c r="AS243" s="70">
        <f t="shared" si="80"/>
        <v>22994.469674454944</v>
      </c>
    </row>
    <row r="244" spans="1:45">
      <c r="A244" s="104" t="s">
        <v>2536</v>
      </c>
      <c r="B244" s="124" t="s">
        <v>2536</v>
      </c>
      <c r="C244" s="31" t="s">
        <v>2537</v>
      </c>
      <c r="D244" s="125" t="s">
        <v>2537</v>
      </c>
      <c r="E244" s="119" t="s">
        <v>2538</v>
      </c>
      <c r="F244" s="100" t="s">
        <v>2279</v>
      </c>
      <c r="G244" s="100" t="s">
        <v>1526</v>
      </c>
      <c r="H244" s="43" t="str">
        <f t="shared" si="63"/>
        <v>Urban Lubbock</v>
      </c>
      <c r="I244" s="45">
        <f>INDEX('Fee Calc'!M:M,MATCH(C:C,'Fee Calc'!F:F,0))</f>
        <v>0</v>
      </c>
      <c r="J244" s="45">
        <f>INDEX('Fee Calc'!L:L,MATCH(C:C,'Fee Calc'!F:F,0))</f>
        <v>0</v>
      </c>
      <c r="K244" s="45">
        <f t="shared" si="64"/>
        <v>0</v>
      </c>
      <c r="L244" s="45">
        <v>0</v>
      </c>
      <c r="M244" s="45">
        <v>0</v>
      </c>
      <c r="N244" s="45">
        <f t="shared" si="65"/>
        <v>0</v>
      </c>
      <c r="O244" s="45">
        <v>0</v>
      </c>
      <c r="P244" s="45">
        <v>0</v>
      </c>
      <c r="Q244" s="45">
        <f t="shared" si="66"/>
        <v>0</v>
      </c>
      <c r="R244" s="45" t="str">
        <f t="shared" si="67"/>
        <v>No</v>
      </c>
      <c r="S244" s="46" t="str">
        <f t="shared" si="67"/>
        <v>No</v>
      </c>
      <c r="T244" s="47">
        <f>ROUND(INDEX(Summary!H:H,MATCH(H:H,Summary!A:A,0)),2)</f>
        <v>0</v>
      </c>
      <c r="U244" s="47">
        <f>ROUND(INDEX(Summary!I:I,MATCH(H:H,Summary!A:A,0)),2)</f>
        <v>0.61</v>
      </c>
      <c r="V244" s="81">
        <f t="shared" si="68"/>
        <v>0</v>
      </c>
      <c r="W244" s="81">
        <f t="shared" si="68"/>
        <v>0</v>
      </c>
      <c r="X244" s="45">
        <f t="shared" si="69"/>
        <v>0</v>
      </c>
      <c r="Y244" s="45" t="s">
        <v>2752</v>
      </c>
      <c r="Z244" s="45" t="str">
        <f t="shared" si="70"/>
        <v>No</v>
      </c>
      <c r="AA244" s="45" t="str">
        <f t="shared" si="70"/>
        <v>No</v>
      </c>
      <c r="AB244" s="45" t="str">
        <f t="shared" si="71"/>
        <v>No</v>
      </c>
      <c r="AC244" s="82">
        <f t="shared" si="72"/>
        <v>0</v>
      </c>
      <c r="AD244" s="82">
        <f t="shared" si="72"/>
        <v>0</v>
      </c>
      <c r="AE244" s="45">
        <f t="shared" si="73"/>
        <v>0</v>
      </c>
      <c r="AF244" s="45">
        <f t="shared" si="73"/>
        <v>0</v>
      </c>
      <c r="AG244" s="45">
        <f t="shared" si="74"/>
        <v>0</v>
      </c>
      <c r="AH244" s="47">
        <f>IFERROR(ROUNDDOWN(INDEX('90% of ACR'!K:K,MATCH(H:H,'90% of ACR'!A:A,0))*IF(I244&gt;0,IF(O244&gt;0,$R$4*MAX(O244-V244,0),0),0)/I244,2),0)</f>
        <v>0</v>
      </c>
      <c r="AI244" s="82">
        <f>IFERROR(ROUNDDOWN(INDEX('90% of ACR'!R:R,MATCH(H:H,'90% of ACR'!A:A,0))*IF(J244&gt;0,IF(P244&gt;0,$R$4*MAX(P244-W244,0),0),0)/J244,2),0)</f>
        <v>0</v>
      </c>
      <c r="AJ244" s="45">
        <f t="shared" si="75"/>
        <v>0</v>
      </c>
      <c r="AK244" s="45">
        <f t="shared" si="75"/>
        <v>0</v>
      </c>
      <c r="AL244" s="47">
        <f t="shared" si="76"/>
        <v>0</v>
      </c>
      <c r="AM244" s="47">
        <f t="shared" si="76"/>
        <v>0.61</v>
      </c>
      <c r="AN244" s="83">
        <f>IFERROR(INDEX('Fee Calc'!P:P,MATCH(C244,'Fee Calc'!F:F,0)),0)</f>
        <v>0</v>
      </c>
      <c r="AO244" s="83">
        <f>IFERROR(INDEX('Fee Calc'!Q:Q,MATCH(C244,'Fee Calc'!F:F,0)),0)</f>
        <v>0</v>
      </c>
      <c r="AP244" s="83">
        <f t="shared" si="77"/>
        <v>0</v>
      </c>
      <c r="AQ244" s="70">
        <f t="shared" si="78"/>
        <v>0</v>
      </c>
      <c r="AR244" s="70">
        <f t="shared" si="79"/>
        <v>0</v>
      </c>
      <c r="AS244" s="70">
        <f t="shared" si="80"/>
        <v>0</v>
      </c>
    </row>
    <row r="245" spans="1:45">
      <c r="A245" s="104" t="s">
        <v>1450</v>
      </c>
      <c r="B245" s="124" t="s">
        <v>1450</v>
      </c>
      <c r="C245" s="31" t="s">
        <v>1451</v>
      </c>
      <c r="D245" s="125" t="s">
        <v>1451</v>
      </c>
      <c r="E245" s="119" t="s">
        <v>2662</v>
      </c>
      <c r="F245" s="100" t="s">
        <v>2279</v>
      </c>
      <c r="G245" s="100" t="s">
        <v>300</v>
      </c>
      <c r="H245" s="43" t="str">
        <f t="shared" si="63"/>
        <v>Urban Harris</v>
      </c>
      <c r="I245" s="45">
        <f>INDEX('Fee Calc'!M:M,MATCH(C:C,'Fee Calc'!F:F,0))</f>
        <v>0</v>
      </c>
      <c r="J245" s="45">
        <f>INDEX('Fee Calc'!L:L,MATCH(C:C,'Fee Calc'!F:F,0))</f>
        <v>0</v>
      </c>
      <c r="K245" s="45">
        <f t="shared" si="64"/>
        <v>0</v>
      </c>
      <c r="L245" s="45">
        <v>66781.73</v>
      </c>
      <c r="M245" s="45">
        <v>0</v>
      </c>
      <c r="N245" s="45">
        <f t="shared" si="65"/>
        <v>66781.73</v>
      </c>
      <c r="O245" s="45">
        <v>33760.023231928979</v>
      </c>
      <c r="P245" s="45">
        <v>0</v>
      </c>
      <c r="Q245" s="45">
        <f t="shared" si="66"/>
        <v>33760.023231928979</v>
      </c>
      <c r="R245" s="45" t="str">
        <f t="shared" si="67"/>
        <v>Yes</v>
      </c>
      <c r="S245" s="46" t="str">
        <f t="shared" si="67"/>
        <v>No</v>
      </c>
      <c r="T245" s="47">
        <f>ROUND(INDEX(Summary!H:H,MATCH(H:H,Summary!A:A,0)),2)</f>
        <v>1.57</v>
      </c>
      <c r="U245" s="47">
        <f>ROUND(INDEX(Summary!I:I,MATCH(H:H,Summary!A:A,0)),2)</f>
        <v>0.3</v>
      </c>
      <c r="V245" s="81">
        <f t="shared" si="68"/>
        <v>0</v>
      </c>
      <c r="W245" s="81">
        <f t="shared" si="68"/>
        <v>0</v>
      </c>
      <c r="X245" s="45">
        <f t="shared" si="69"/>
        <v>0</v>
      </c>
      <c r="Y245" s="45" t="s">
        <v>2752</v>
      </c>
      <c r="Z245" s="45" t="str">
        <f t="shared" si="70"/>
        <v>No</v>
      </c>
      <c r="AA245" s="45" t="str">
        <f t="shared" si="70"/>
        <v>No</v>
      </c>
      <c r="AB245" s="45" t="str">
        <f t="shared" si="71"/>
        <v>No</v>
      </c>
      <c r="AC245" s="82">
        <f t="shared" si="72"/>
        <v>0</v>
      </c>
      <c r="AD245" s="82">
        <f t="shared" si="72"/>
        <v>0</v>
      </c>
      <c r="AE245" s="45">
        <f t="shared" si="73"/>
        <v>0</v>
      </c>
      <c r="AF245" s="45">
        <f t="shared" si="73"/>
        <v>0</v>
      </c>
      <c r="AG245" s="45">
        <f t="shared" si="74"/>
        <v>0</v>
      </c>
      <c r="AH245" s="47">
        <f>IFERROR(ROUNDDOWN(INDEX('90% of ACR'!K:K,MATCH(H:H,'90% of ACR'!A:A,0))*IF(I245&gt;0,IF(O245&gt;0,$R$4*MAX(O245-V245,0),0),0)/I245,2),0)</f>
        <v>0</v>
      </c>
      <c r="AI245" s="82">
        <f>IFERROR(ROUNDDOWN(INDEX('90% of ACR'!R:R,MATCH(H:H,'90% of ACR'!A:A,0))*IF(J245&gt;0,IF(P245&gt;0,$R$4*MAX(P245-W245,0),0),0)/J245,2),0)</f>
        <v>0</v>
      </c>
      <c r="AJ245" s="45">
        <f t="shared" si="75"/>
        <v>0</v>
      </c>
      <c r="AK245" s="45">
        <f t="shared" si="75"/>
        <v>0</v>
      </c>
      <c r="AL245" s="47">
        <f t="shared" si="76"/>
        <v>1.57</v>
      </c>
      <c r="AM245" s="47">
        <f t="shared" si="76"/>
        <v>0.3</v>
      </c>
      <c r="AN245" s="83">
        <f>IFERROR(INDEX('Fee Calc'!P:P,MATCH(C245,'Fee Calc'!F:F,0)),0)</f>
        <v>0</v>
      </c>
      <c r="AO245" s="83">
        <f>IFERROR(INDEX('Fee Calc'!Q:Q,MATCH(C245,'Fee Calc'!F:F,0)),0)</f>
        <v>0</v>
      </c>
      <c r="AP245" s="83">
        <f t="shared" si="77"/>
        <v>0</v>
      </c>
      <c r="AQ245" s="70">
        <f t="shared" si="78"/>
        <v>0</v>
      </c>
      <c r="AR245" s="70">
        <f t="shared" si="79"/>
        <v>0</v>
      </c>
      <c r="AS245" s="70">
        <f t="shared" si="80"/>
        <v>0</v>
      </c>
    </row>
    <row r="246" spans="1:45">
      <c r="A246" s="104" t="s">
        <v>1459</v>
      </c>
      <c r="B246" s="124" t="s">
        <v>1459</v>
      </c>
      <c r="C246" s="31" t="s">
        <v>1460</v>
      </c>
      <c r="D246" s="125" t="s">
        <v>1460</v>
      </c>
      <c r="E246" s="119" t="s">
        <v>2663</v>
      </c>
      <c r="F246" s="100" t="s">
        <v>2279</v>
      </c>
      <c r="G246" s="100" t="s">
        <v>310</v>
      </c>
      <c r="H246" s="43" t="str">
        <f t="shared" si="63"/>
        <v>Urban MRSA Northeast</v>
      </c>
      <c r="I246" s="45">
        <f>INDEX('Fee Calc'!M:M,MATCH(C:C,'Fee Calc'!F:F,0))</f>
        <v>13518.430974197028</v>
      </c>
      <c r="J246" s="45">
        <f>INDEX('Fee Calc'!L:L,MATCH(C:C,'Fee Calc'!F:F,0))</f>
        <v>65.209384936924152</v>
      </c>
      <c r="K246" s="45">
        <f t="shared" si="64"/>
        <v>13583.640359133953</v>
      </c>
      <c r="L246" s="45">
        <v>59944.6</v>
      </c>
      <c r="M246" s="45">
        <v>0</v>
      </c>
      <c r="N246" s="45">
        <f t="shared" si="65"/>
        <v>59944.6</v>
      </c>
      <c r="O246" s="45">
        <v>43825.772653332897</v>
      </c>
      <c r="P246" s="45">
        <v>0</v>
      </c>
      <c r="Q246" s="45">
        <f t="shared" si="66"/>
        <v>43825.772653332897</v>
      </c>
      <c r="R246" s="45" t="str">
        <f t="shared" si="67"/>
        <v>Yes</v>
      </c>
      <c r="S246" s="46" t="str">
        <f t="shared" si="67"/>
        <v>No</v>
      </c>
      <c r="T246" s="47">
        <f>ROUND(INDEX(Summary!H:H,MATCH(H:H,Summary!A:A,0)),2)</f>
        <v>0.6</v>
      </c>
      <c r="U246" s="47">
        <f>ROUND(INDEX(Summary!I:I,MATCH(H:H,Summary!A:A,0)),2)</f>
        <v>0.99</v>
      </c>
      <c r="V246" s="81">
        <f t="shared" si="68"/>
        <v>8111.0585845182168</v>
      </c>
      <c r="W246" s="81">
        <f t="shared" si="68"/>
        <v>64.557291087554916</v>
      </c>
      <c r="X246" s="45">
        <f t="shared" si="69"/>
        <v>8175.6158756057721</v>
      </c>
      <c r="Y246" s="45" t="s">
        <v>2752</v>
      </c>
      <c r="Z246" s="45" t="str">
        <f t="shared" si="70"/>
        <v>Yes</v>
      </c>
      <c r="AA246" s="45" t="str">
        <f t="shared" si="70"/>
        <v>No</v>
      </c>
      <c r="AB246" s="45" t="str">
        <f t="shared" si="71"/>
        <v>Yes</v>
      </c>
      <c r="AC246" s="82">
        <f t="shared" si="72"/>
        <v>1.84</v>
      </c>
      <c r="AD246" s="82">
        <f t="shared" si="72"/>
        <v>0</v>
      </c>
      <c r="AE246" s="45">
        <f t="shared" si="73"/>
        <v>24873.912992522532</v>
      </c>
      <c r="AF246" s="45">
        <f t="shared" si="73"/>
        <v>0</v>
      </c>
      <c r="AG246" s="45">
        <f t="shared" si="74"/>
        <v>24873.912992522532</v>
      </c>
      <c r="AH246" s="47">
        <f>IFERROR(ROUNDDOWN(INDEX('90% of ACR'!K:K,MATCH(H:H,'90% of ACR'!A:A,0))*IF(I246&gt;0,IF(O246&gt;0,$R$4*MAX(O246-V246,0),0),0)/I246,2),0)</f>
        <v>1.84</v>
      </c>
      <c r="AI246" s="82">
        <f>IFERROR(ROUNDDOWN(INDEX('90% of ACR'!R:R,MATCH(H:H,'90% of ACR'!A:A,0))*IF(J246&gt;0,IF(P246&gt;0,$R$4*MAX(P246-W246,0),0),0)/J246,2),0)</f>
        <v>0</v>
      </c>
      <c r="AJ246" s="45">
        <f t="shared" si="75"/>
        <v>24873.912992522532</v>
      </c>
      <c r="AK246" s="45">
        <f t="shared" si="75"/>
        <v>0</v>
      </c>
      <c r="AL246" s="47">
        <f t="shared" si="76"/>
        <v>2.44</v>
      </c>
      <c r="AM246" s="47">
        <f t="shared" si="76"/>
        <v>0.99</v>
      </c>
      <c r="AN246" s="83">
        <f>IFERROR(INDEX('Fee Calc'!P:P,MATCH(C246,'Fee Calc'!F:F,0)),0)</f>
        <v>33049.528868128305</v>
      </c>
      <c r="AO246" s="83">
        <f>IFERROR(INDEX('Fee Calc'!Q:Q,MATCH(C246,'Fee Calc'!F:F,0)),0)</f>
        <v>2033.3322942232919</v>
      </c>
      <c r="AP246" s="83">
        <f t="shared" si="77"/>
        <v>35082.861162351597</v>
      </c>
      <c r="AQ246" s="70">
        <f t="shared" si="78"/>
        <v>14981.504367881327</v>
      </c>
      <c r="AR246" s="70">
        <f t="shared" si="79"/>
        <v>7490.7521839406636</v>
      </c>
      <c r="AS246" s="70">
        <f t="shared" si="80"/>
        <v>7490.7521839406636</v>
      </c>
    </row>
    <row r="247" spans="1:45">
      <c r="A247" s="104" t="s">
        <v>1453</v>
      </c>
      <c r="B247" s="124" t="s">
        <v>1453</v>
      </c>
      <c r="C247" s="31" t="s">
        <v>1454</v>
      </c>
      <c r="D247" s="125" t="s">
        <v>1454</v>
      </c>
      <c r="E247" s="119" t="s">
        <v>2665</v>
      </c>
      <c r="F247" s="100" t="s">
        <v>2279</v>
      </c>
      <c r="G247" s="100" t="s">
        <v>300</v>
      </c>
      <c r="H247" s="43" t="str">
        <f t="shared" si="63"/>
        <v>Urban Harris</v>
      </c>
      <c r="I247" s="45">
        <f>INDEX('Fee Calc'!M:M,MATCH(C:C,'Fee Calc'!F:F,0))</f>
        <v>0</v>
      </c>
      <c r="J247" s="45">
        <f>INDEX('Fee Calc'!L:L,MATCH(C:C,'Fee Calc'!F:F,0))</f>
        <v>0</v>
      </c>
      <c r="K247" s="45">
        <f t="shared" si="64"/>
        <v>0</v>
      </c>
      <c r="L247" s="45">
        <v>0</v>
      </c>
      <c r="M247" s="45">
        <v>0</v>
      </c>
      <c r="N247" s="45">
        <f t="shared" si="65"/>
        <v>0</v>
      </c>
      <c r="O247" s="45">
        <v>0</v>
      </c>
      <c r="P247" s="45">
        <v>0</v>
      </c>
      <c r="Q247" s="45">
        <f t="shared" si="66"/>
        <v>0</v>
      </c>
      <c r="R247" s="45" t="str">
        <f t="shared" si="67"/>
        <v>No</v>
      </c>
      <c r="S247" s="46" t="str">
        <f t="shared" si="67"/>
        <v>No</v>
      </c>
      <c r="T247" s="47">
        <f>ROUND(INDEX(Summary!H:H,MATCH(H:H,Summary!A:A,0)),2)</f>
        <v>1.57</v>
      </c>
      <c r="U247" s="47">
        <f>ROUND(INDEX(Summary!I:I,MATCH(H:H,Summary!A:A,0)),2)</f>
        <v>0.3</v>
      </c>
      <c r="V247" s="81">
        <f t="shared" si="68"/>
        <v>0</v>
      </c>
      <c r="W247" s="81">
        <f t="shared" si="68"/>
        <v>0</v>
      </c>
      <c r="X247" s="45">
        <f t="shared" si="69"/>
        <v>0</v>
      </c>
      <c r="Y247" s="45" t="s">
        <v>2752</v>
      </c>
      <c r="Z247" s="45" t="str">
        <f t="shared" si="70"/>
        <v>No</v>
      </c>
      <c r="AA247" s="45" t="str">
        <f t="shared" si="70"/>
        <v>No</v>
      </c>
      <c r="AB247" s="45" t="str">
        <f t="shared" si="71"/>
        <v>No</v>
      </c>
      <c r="AC247" s="82">
        <f t="shared" si="72"/>
        <v>0</v>
      </c>
      <c r="AD247" s="82">
        <f t="shared" si="72"/>
        <v>0</v>
      </c>
      <c r="AE247" s="45">
        <f t="shared" si="73"/>
        <v>0</v>
      </c>
      <c r="AF247" s="45">
        <f t="shared" si="73"/>
        <v>0</v>
      </c>
      <c r="AG247" s="45">
        <f t="shared" si="74"/>
        <v>0</v>
      </c>
      <c r="AH247" s="47">
        <f>IFERROR(ROUNDDOWN(INDEX('90% of ACR'!K:K,MATCH(H:H,'90% of ACR'!A:A,0))*IF(I247&gt;0,IF(O247&gt;0,$R$4*MAX(O247-V247,0),0),0)/I247,2),0)</f>
        <v>0</v>
      </c>
      <c r="AI247" s="82">
        <f>IFERROR(ROUNDDOWN(INDEX('90% of ACR'!R:R,MATCH(H:H,'90% of ACR'!A:A,0))*IF(J247&gt;0,IF(P247&gt;0,$R$4*MAX(P247-W247,0),0),0)/J247,2),0)</f>
        <v>0</v>
      </c>
      <c r="AJ247" s="45">
        <f t="shared" si="75"/>
        <v>0</v>
      </c>
      <c r="AK247" s="45">
        <f t="shared" si="75"/>
        <v>0</v>
      </c>
      <c r="AL247" s="47">
        <f t="shared" si="76"/>
        <v>1.57</v>
      </c>
      <c r="AM247" s="47">
        <f t="shared" si="76"/>
        <v>0.3</v>
      </c>
      <c r="AN247" s="83">
        <f>IFERROR(INDEX('Fee Calc'!P:P,MATCH(C247,'Fee Calc'!F:F,0)),0)</f>
        <v>0</v>
      </c>
      <c r="AO247" s="83">
        <f>IFERROR(INDEX('Fee Calc'!Q:Q,MATCH(C247,'Fee Calc'!F:F,0)),0)</f>
        <v>0</v>
      </c>
      <c r="AP247" s="83">
        <f t="shared" si="77"/>
        <v>0</v>
      </c>
      <c r="AQ247" s="70">
        <f t="shared" si="78"/>
        <v>0</v>
      </c>
      <c r="AR247" s="70">
        <f t="shared" si="79"/>
        <v>0</v>
      </c>
      <c r="AS247" s="70">
        <f t="shared" si="80"/>
        <v>0</v>
      </c>
    </row>
    <row r="248" spans="1:45">
      <c r="A248" s="104" t="s">
        <v>1456</v>
      </c>
      <c r="B248" s="124" t="s">
        <v>1456</v>
      </c>
      <c r="C248" s="31" t="s">
        <v>1457</v>
      </c>
      <c r="D248" s="125" t="s">
        <v>1457</v>
      </c>
      <c r="E248" s="119" t="s">
        <v>2666</v>
      </c>
      <c r="F248" s="100" t="s">
        <v>2279</v>
      </c>
      <c r="G248" s="100" t="s">
        <v>300</v>
      </c>
      <c r="H248" s="43" t="str">
        <f t="shared" si="63"/>
        <v>Urban Harris</v>
      </c>
      <c r="I248" s="45">
        <f>INDEX('Fee Calc'!M:M,MATCH(C:C,'Fee Calc'!F:F,0))</f>
        <v>0</v>
      </c>
      <c r="J248" s="45">
        <f>INDEX('Fee Calc'!L:L,MATCH(C:C,'Fee Calc'!F:F,0))</f>
        <v>0</v>
      </c>
      <c r="K248" s="45">
        <f t="shared" si="64"/>
        <v>0</v>
      </c>
      <c r="L248" s="45">
        <v>9137.16</v>
      </c>
      <c r="M248" s="45">
        <v>0</v>
      </c>
      <c r="N248" s="45">
        <f t="shared" si="65"/>
        <v>9137.16</v>
      </c>
      <c r="O248" s="45">
        <v>3500.77100811327</v>
      </c>
      <c r="P248" s="45">
        <v>0</v>
      </c>
      <c r="Q248" s="45">
        <f t="shared" si="66"/>
        <v>3500.77100811327</v>
      </c>
      <c r="R248" s="45" t="str">
        <f t="shared" si="67"/>
        <v>Yes</v>
      </c>
      <c r="S248" s="46" t="str">
        <f t="shared" si="67"/>
        <v>No</v>
      </c>
      <c r="T248" s="47">
        <f>ROUND(INDEX(Summary!H:H,MATCH(H:H,Summary!A:A,0)),2)</f>
        <v>1.57</v>
      </c>
      <c r="U248" s="47">
        <f>ROUND(INDEX(Summary!I:I,MATCH(H:H,Summary!A:A,0)),2)</f>
        <v>0.3</v>
      </c>
      <c r="V248" s="81">
        <f t="shared" si="68"/>
        <v>0</v>
      </c>
      <c r="W248" s="81">
        <f t="shared" si="68"/>
        <v>0</v>
      </c>
      <c r="X248" s="45">
        <f t="shared" si="69"/>
        <v>0</v>
      </c>
      <c r="Y248" s="45" t="s">
        <v>2752</v>
      </c>
      <c r="Z248" s="45" t="str">
        <f t="shared" si="70"/>
        <v>No</v>
      </c>
      <c r="AA248" s="45" t="str">
        <f t="shared" si="70"/>
        <v>No</v>
      </c>
      <c r="AB248" s="45" t="str">
        <f t="shared" si="71"/>
        <v>No</v>
      </c>
      <c r="AC248" s="82">
        <f t="shared" si="72"/>
        <v>0</v>
      </c>
      <c r="AD248" s="82">
        <f t="shared" si="72"/>
        <v>0</v>
      </c>
      <c r="AE248" s="45">
        <f t="shared" si="73"/>
        <v>0</v>
      </c>
      <c r="AF248" s="45">
        <f t="shared" si="73"/>
        <v>0</v>
      </c>
      <c r="AG248" s="45">
        <f t="shared" si="74"/>
        <v>0</v>
      </c>
      <c r="AH248" s="47">
        <f>IFERROR(ROUNDDOWN(INDEX('90% of ACR'!K:K,MATCH(H:H,'90% of ACR'!A:A,0))*IF(I248&gt;0,IF(O248&gt;0,$R$4*MAX(O248-V248,0),0),0)/I248,2),0)</f>
        <v>0</v>
      </c>
      <c r="AI248" s="82">
        <f>IFERROR(ROUNDDOWN(INDEX('90% of ACR'!R:R,MATCH(H:H,'90% of ACR'!A:A,0))*IF(J248&gt;0,IF(P248&gt;0,$R$4*MAX(P248-W248,0),0),0)/J248,2),0)</f>
        <v>0</v>
      </c>
      <c r="AJ248" s="45">
        <f t="shared" si="75"/>
        <v>0</v>
      </c>
      <c r="AK248" s="45">
        <f t="shared" si="75"/>
        <v>0</v>
      </c>
      <c r="AL248" s="47">
        <f t="shared" si="76"/>
        <v>1.57</v>
      </c>
      <c r="AM248" s="47">
        <f t="shared" si="76"/>
        <v>0.3</v>
      </c>
      <c r="AN248" s="83">
        <f>IFERROR(INDEX('Fee Calc'!P:P,MATCH(C248,'Fee Calc'!F:F,0)),0)</f>
        <v>0</v>
      </c>
      <c r="AO248" s="83">
        <f>IFERROR(INDEX('Fee Calc'!Q:Q,MATCH(C248,'Fee Calc'!F:F,0)),0)</f>
        <v>0</v>
      </c>
      <c r="AP248" s="83">
        <f t="shared" si="77"/>
        <v>0</v>
      </c>
      <c r="AQ248" s="70">
        <f t="shared" si="78"/>
        <v>0</v>
      </c>
      <c r="AR248" s="70">
        <f t="shared" si="79"/>
        <v>0</v>
      </c>
      <c r="AS248" s="70">
        <f t="shared" si="80"/>
        <v>0</v>
      </c>
    </row>
    <row r="249" spans="1:45">
      <c r="A249" s="104" t="s">
        <v>1518</v>
      </c>
      <c r="B249" s="124" t="s">
        <v>1518</v>
      </c>
      <c r="C249" s="31" t="s">
        <v>1519</v>
      </c>
      <c r="D249" s="125" t="s">
        <v>1519</v>
      </c>
      <c r="E249" s="119" t="s">
        <v>2669</v>
      </c>
      <c r="F249" s="100" t="s">
        <v>2279</v>
      </c>
      <c r="G249" s="100" t="s">
        <v>310</v>
      </c>
      <c r="H249" s="43" t="str">
        <f t="shared" si="63"/>
        <v>Urban MRSA Northeast</v>
      </c>
      <c r="I249" s="45">
        <f>INDEX('Fee Calc'!M:M,MATCH(C:C,'Fee Calc'!F:F,0))</f>
        <v>197851.43157090415</v>
      </c>
      <c r="J249" s="45">
        <f>INDEX('Fee Calc'!L:L,MATCH(C:C,'Fee Calc'!F:F,0))</f>
        <v>0</v>
      </c>
      <c r="K249" s="45">
        <f t="shared" si="64"/>
        <v>197851.43157090415</v>
      </c>
      <c r="L249" s="45">
        <v>112100.93</v>
      </c>
      <c r="M249" s="45">
        <v>0</v>
      </c>
      <c r="N249" s="45">
        <f t="shared" si="65"/>
        <v>112100.93</v>
      </c>
      <c r="O249" s="45">
        <v>67096.639479749429</v>
      </c>
      <c r="P249" s="45">
        <v>0</v>
      </c>
      <c r="Q249" s="45">
        <f t="shared" si="66"/>
        <v>67096.639479749429</v>
      </c>
      <c r="R249" s="45" t="str">
        <f t="shared" si="67"/>
        <v>Yes</v>
      </c>
      <c r="S249" s="46" t="str">
        <f t="shared" si="67"/>
        <v>No</v>
      </c>
      <c r="T249" s="47">
        <f>ROUND(INDEX(Summary!H:H,MATCH(H:H,Summary!A:A,0)),2)</f>
        <v>0.6</v>
      </c>
      <c r="U249" s="47">
        <f>ROUND(INDEX(Summary!I:I,MATCH(H:H,Summary!A:A,0)),2)</f>
        <v>0.99</v>
      </c>
      <c r="V249" s="81">
        <f t="shared" si="68"/>
        <v>118710.85894254249</v>
      </c>
      <c r="W249" s="81">
        <f t="shared" si="68"/>
        <v>0</v>
      </c>
      <c r="X249" s="45">
        <f t="shared" si="69"/>
        <v>118710.85894254249</v>
      </c>
      <c r="Y249" s="45" t="s">
        <v>2752</v>
      </c>
      <c r="Z249" s="45" t="str">
        <f t="shared" si="70"/>
        <v>No</v>
      </c>
      <c r="AA249" s="45" t="str">
        <f t="shared" si="70"/>
        <v>No</v>
      </c>
      <c r="AB249" s="45" t="str">
        <f t="shared" si="71"/>
        <v>No</v>
      </c>
      <c r="AC249" s="82">
        <f t="shared" si="72"/>
        <v>0</v>
      </c>
      <c r="AD249" s="82">
        <f t="shared" si="72"/>
        <v>0</v>
      </c>
      <c r="AE249" s="45">
        <f t="shared" si="73"/>
        <v>0</v>
      </c>
      <c r="AF249" s="45">
        <f t="shared" si="73"/>
        <v>0</v>
      </c>
      <c r="AG249" s="45">
        <f t="shared" si="74"/>
        <v>0</v>
      </c>
      <c r="AH249" s="47">
        <f>IFERROR(ROUNDDOWN(INDEX('90% of ACR'!K:K,MATCH(H:H,'90% of ACR'!A:A,0))*IF(I249&gt;0,IF(O249&gt;0,$R$4*MAX(O249-V249,0),0),0)/I249,2),0)</f>
        <v>0</v>
      </c>
      <c r="AI249" s="82">
        <f>IFERROR(ROUNDDOWN(INDEX('90% of ACR'!R:R,MATCH(H:H,'90% of ACR'!A:A,0))*IF(J249&gt;0,IF(P249&gt;0,$R$4*MAX(P249-W249,0),0),0)/J249,2),0)</f>
        <v>0</v>
      </c>
      <c r="AJ249" s="45">
        <f t="shared" si="75"/>
        <v>0</v>
      </c>
      <c r="AK249" s="45">
        <f t="shared" si="75"/>
        <v>0</v>
      </c>
      <c r="AL249" s="47">
        <f t="shared" si="76"/>
        <v>0.6</v>
      </c>
      <c r="AM249" s="47">
        <f t="shared" si="76"/>
        <v>0.99</v>
      </c>
      <c r="AN249" s="83">
        <f>IFERROR(INDEX('Fee Calc'!P:P,MATCH(C249,'Fee Calc'!F:F,0)),0)</f>
        <v>118710.85894254249</v>
      </c>
      <c r="AO249" s="83">
        <f>IFERROR(INDEX('Fee Calc'!Q:Q,MATCH(C249,'Fee Calc'!F:F,0)),0)</f>
        <v>7242.307044239993</v>
      </c>
      <c r="AP249" s="83">
        <f t="shared" si="77"/>
        <v>125953.16598678248</v>
      </c>
      <c r="AQ249" s="70">
        <f t="shared" si="78"/>
        <v>53786.032377667689</v>
      </c>
      <c r="AR249" s="70">
        <f t="shared" si="79"/>
        <v>26893.016188833844</v>
      </c>
      <c r="AS249" s="70">
        <f t="shared" si="80"/>
        <v>26893.016188833844</v>
      </c>
    </row>
    <row r="250" spans="1:45">
      <c r="A250" s="104" t="s">
        <v>683</v>
      </c>
      <c r="B250" s="124" t="s">
        <v>683</v>
      </c>
      <c r="C250" s="31" t="s">
        <v>684</v>
      </c>
      <c r="D250" s="125" t="s">
        <v>684</v>
      </c>
      <c r="E250" s="119" t="s">
        <v>2872</v>
      </c>
      <c r="F250" s="100" t="s">
        <v>2291</v>
      </c>
      <c r="G250" s="100" t="s">
        <v>1526</v>
      </c>
      <c r="H250" s="43" t="str">
        <f t="shared" si="63"/>
        <v>Rural Lubbock</v>
      </c>
      <c r="I250" s="45">
        <f>INDEX('Fee Calc'!M:M,MATCH(C:C,'Fee Calc'!F:F,0))</f>
        <v>1054231.2612710851</v>
      </c>
      <c r="J250" s="45">
        <f>INDEX('Fee Calc'!L:L,MATCH(C:C,'Fee Calc'!F:F,0))</f>
        <v>1796519.9747629338</v>
      </c>
      <c r="K250" s="45">
        <f t="shared" si="64"/>
        <v>2850751.2360340189</v>
      </c>
      <c r="L250" s="45">
        <v>682021.42</v>
      </c>
      <c r="M250" s="45">
        <v>137745.81</v>
      </c>
      <c r="N250" s="45">
        <f t="shared" si="65"/>
        <v>819767.23</v>
      </c>
      <c r="O250" s="45">
        <v>159018.15346053115</v>
      </c>
      <c r="P250" s="45">
        <v>82966.418447942648</v>
      </c>
      <c r="Q250" s="45">
        <f t="shared" si="66"/>
        <v>241984.57190847379</v>
      </c>
      <c r="R250" s="45" t="str">
        <f t="shared" si="67"/>
        <v>Yes</v>
      </c>
      <c r="S250" s="46" t="str">
        <f t="shared" si="67"/>
        <v>Yes</v>
      </c>
      <c r="T250" s="47">
        <f>ROUND(INDEX(Summary!H:H,MATCH(H:H,Summary!A:A,0)),2)</f>
        <v>0.49</v>
      </c>
      <c r="U250" s="47">
        <f>ROUND(INDEX(Summary!I:I,MATCH(H:H,Summary!A:A,0)),2)</f>
        <v>0.18</v>
      </c>
      <c r="V250" s="81">
        <f t="shared" si="68"/>
        <v>516573.31802283169</v>
      </c>
      <c r="W250" s="81">
        <f t="shared" si="68"/>
        <v>323373.59545732808</v>
      </c>
      <c r="X250" s="45">
        <f t="shared" si="69"/>
        <v>839946.91348015983</v>
      </c>
      <c r="Y250" s="45" t="s">
        <v>2752</v>
      </c>
      <c r="Z250" s="45" t="str">
        <f t="shared" si="70"/>
        <v>No</v>
      </c>
      <c r="AA250" s="45" t="str">
        <f t="shared" si="70"/>
        <v>No</v>
      </c>
      <c r="AB250" s="45" t="str">
        <f t="shared" si="71"/>
        <v>No</v>
      </c>
      <c r="AC250" s="82">
        <f t="shared" si="72"/>
        <v>0</v>
      </c>
      <c r="AD250" s="82">
        <f t="shared" si="72"/>
        <v>0</v>
      </c>
      <c r="AE250" s="45">
        <f t="shared" si="73"/>
        <v>0</v>
      </c>
      <c r="AF250" s="45">
        <f t="shared" si="73"/>
        <v>0</v>
      </c>
      <c r="AG250" s="45">
        <f t="shared" si="74"/>
        <v>0</v>
      </c>
      <c r="AH250" s="47">
        <f>IFERROR(ROUNDDOWN(INDEX('90% of ACR'!K:K,MATCH(H:H,'90% of ACR'!A:A,0))*IF(I250&gt;0,IF(O250&gt;0,$R$4*MAX(O250-V250,0),0),0)/I250,2),0)</f>
        <v>0</v>
      </c>
      <c r="AI250" s="82">
        <f>IFERROR(ROUNDDOWN(INDEX('90% of ACR'!R:R,MATCH(H:H,'90% of ACR'!A:A,0))*IF(J250&gt;0,IF(P250&gt;0,$R$4*MAX(P250-W250,0),0),0)/J250,2),0)</f>
        <v>0</v>
      </c>
      <c r="AJ250" s="45">
        <f t="shared" si="75"/>
        <v>0</v>
      </c>
      <c r="AK250" s="45">
        <f t="shared" si="75"/>
        <v>0</v>
      </c>
      <c r="AL250" s="47">
        <f t="shared" si="76"/>
        <v>0.49</v>
      </c>
      <c r="AM250" s="47">
        <f t="shared" si="76"/>
        <v>0.18</v>
      </c>
      <c r="AN250" s="83">
        <f>IFERROR(INDEX('Fee Calc'!P:P,MATCH(C250,'Fee Calc'!F:F,0)),0)</f>
        <v>839946.91348015983</v>
      </c>
      <c r="AO250" s="83">
        <f>IFERROR(INDEX('Fee Calc'!Q:Q,MATCH(C250,'Fee Calc'!F:F,0)),0)</f>
        <v>51365.26231611488</v>
      </c>
      <c r="AP250" s="83">
        <f t="shared" si="77"/>
        <v>891312.17579627468</v>
      </c>
      <c r="AQ250" s="70">
        <f t="shared" si="78"/>
        <v>380618.82105463475</v>
      </c>
      <c r="AR250" s="70">
        <f t="shared" si="79"/>
        <v>190309.41052731738</v>
      </c>
      <c r="AS250" s="70">
        <f t="shared" si="80"/>
        <v>190309.41052731738</v>
      </c>
    </row>
    <row r="251" spans="1:45">
      <c r="A251" s="104" t="s">
        <v>1428</v>
      </c>
      <c r="B251" s="124" t="s">
        <v>1428</v>
      </c>
      <c r="C251" s="31" t="s">
        <v>1429</v>
      </c>
      <c r="D251" s="125" t="s">
        <v>1429</v>
      </c>
      <c r="E251" s="119" t="s">
        <v>2672</v>
      </c>
      <c r="F251" s="100" t="s">
        <v>2279</v>
      </c>
      <c r="G251" s="100" t="s">
        <v>300</v>
      </c>
      <c r="H251" s="43" t="str">
        <f t="shared" si="63"/>
        <v>Urban Harris</v>
      </c>
      <c r="I251" s="45">
        <f>INDEX('Fee Calc'!M:M,MATCH(C:C,'Fee Calc'!F:F,0))</f>
        <v>0</v>
      </c>
      <c r="J251" s="45">
        <f>INDEX('Fee Calc'!L:L,MATCH(C:C,'Fee Calc'!F:F,0))</f>
        <v>0</v>
      </c>
      <c r="K251" s="45">
        <f t="shared" si="64"/>
        <v>0</v>
      </c>
      <c r="L251" s="45">
        <v>21778.560000000001</v>
      </c>
      <c r="M251" s="45">
        <v>0</v>
      </c>
      <c r="N251" s="45">
        <f t="shared" si="65"/>
        <v>21778.560000000001</v>
      </c>
      <c r="O251" s="45">
        <v>12434.874186777535</v>
      </c>
      <c r="P251" s="45">
        <v>0</v>
      </c>
      <c r="Q251" s="45">
        <f t="shared" si="66"/>
        <v>12434.874186777535</v>
      </c>
      <c r="R251" s="45" t="str">
        <f t="shared" si="67"/>
        <v>Yes</v>
      </c>
      <c r="S251" s="46" t="str">
        <f t="shared" si="67"/>
        <v>No</v>
      </c>
      <c r="T251" s="47">
        <f>ROUND(INDEX(Summary!H:H,MATCH(H:H,Summary!A:A,0)),2)</f>
        <v>1.57</v>
      </c>
      <c r="U251" s="47">
        <f>ROUND(INDEX(Summary!I:I,MATCH(H:H,Summary!A:A,0)),2)</f>
        <v>0.3</v>
      </c>
      <c r="V251" s="81">
        <f t="shared" si="68"/>
        <v>0</v>
      </c>
      <c r="W251" s="81">
        <f t="shared" si="68"/>
        <v>0</v>
      </c>
      <c r="X251" s="45">
        <f t="shared" si="69"/>
        <v>0</v>
      </c>
      <c r="Y251" s="45" t="s">
        <v>2752</v>
      </c>
      <c r="Z251" s="45" t="str">
        <f t="shared" si="70"/>
        <v>No</v>
      </c>
      <c r="AA251" s="45" t="str">
        <f t="shared" si="70"/>
        <v>No</v>
      </c>
      <c r="AB251" s="45" t="str">
        <f t="shared" si="71"/>
        <v>No</v>
      </c>
      <c r="AC251" s="82">
        <f t="shared" si="72"/>
        <v>0</v>
      </c>
      <c r="AD251" s="82">
        <f t="shared" si="72"/>
        <v>0</v>
      </c>
      <c r="AE251" s="45">
        <f t="shared" si="73"/>
        <v>0</v>
      </c>
      <c r="AF251" s="45">
        <f t="shared" si="73"/>
        <v>0</v>
      </c>
      <c r="AG251" s="45">
        <f t="shared" si="74"/>
        <v>0</v>
      </c>
      <c r="AH251" s="47">
        <f>IFERROR(ROUNDDOWN(INDEX('90% of ACR'!K:K,MATCH(H:H,'90% of ACR'!A:A,0))*IF(I251&gt;0,IF(O251&gt;0,$R$4*MAX(O251-V251,0),0),0)/I251,2),0)</f>
        <v>0</v>
      </c>
      <c r="AI251" s="82">
        <f>IFERROR(ROUNDDOWN(INDEX('90% of ACR'!R:R,MATCH(H:H,'90% of ACR'!A:A,0))*IF(J251&gt;0,IF(P251&gt;0,$R$4*MAX(P251-W251,0),0),0)/J251,2),0)</f>
        <v>0</v>
      </c>
      <c r="AJ251" s="45">
        <f t="shared" si="75"/>
        <v>0</v>
      </c>
      <c r="AK251" s="45">
        <f t="shared" si="75"/>
        <v>0</v>
      </c>
      <c r="AL251" s="47">
        <f t="shared" si="76"/>
        <v>1.57</v>
      </c>
      <c r="AM251" s="47">
        <f t="shared" si="76"/>
        <v>0.3</v>
      </c>
      <c r="AN251" s="83">
        <f>IFERROR(INDEX('Fee Calc'!P:P,MATCH(C251,'Fee Calc'!F:F,0)),0)</f>
        <v>0</v>
      </c>
      <c r="AO251" s="83">
        <f>IFERROR(INDEX('Fee Calc'!Q:Q,MATCH(C251,'Fee Calc'!F:F,0)),0)</f>
        <v>0</v>
      </c>
      <c r="AP251" s="83">
        <f t="shared" si="77"/>
        <v>0</v>
      </c>
      <c r="AQ251" s="70">
        <f t="shared" si="78"/>
        <v>0</v>
      </c>
      <c r="AR251" s="70">
        <f t="shared" si="79"/>
        <v>0</v>
      </c>
      <c r="AS251" s="70">
        <f t="shared" si="80"/>
        <v>0</v>
      </c>
    </row>
    <row r="252" spans="1:45">
      <c r="A252" s="104" t="s">
        <v>2958</v>
      </c>
      <c r="B252" s="124" t="s">
        <v>2958</v>
      </c>
      <c r="C252" s="31" t="s">
        <v>2953</v>
      </c>
      <c r="D252" s="125" t="s">
        <v>2953</v>
      </c>
      <c r="E252" s="119" t="s">
        <v>2873</v>
      </c>
      <c r="F252" s="100" t="s">
        <v>2279</v>
      </c>
      <c r="G252" s="100" t="s">
        <v>1486</v>
      </c>
      <c r="H252" s="43" t="str">
        <f t="shared" si="63"/>
        <v>Urban MRSA Central</v>
      </c>
      <c r="I252" s="45">
        <f>INDEX('Fee Calc'!M:M,MATCH(C:C,'Fee Calc'!F:F,0))</f>
        <v>0</v>
      </c>
      <c r="J252" s="45">
        <f>INDEX('Fee Calc'!L:L,MATCH(C:C,'Fee Calc'!F:F,0))</f>
        <v>0</v>
      </c>
      <c r="K252" s="45">
        <f t="shared" si="64"/>
        <v>0</v>
      </c>
      <c r="L252" s="45">
        <v>0</v>
      </c>
      <c r="M252" s="45">
        <v>0</v>
      </c>
      <c r="N252" s="45">
        <f t="shared" si="65"/>
        <v>0</v>
      </c>
      <c r="O252" s="45">
        <v>0</v>
      </c>
      <c r="P252" s="45">
        <v>0</v>
      </c>
      <c r="Q252" s="45">
        <f t="shared" si="66"/>
        <v>0</v>
      </c>
      <c r="R252" s="45" t="str">
        <f t="shared" si="67"/>
        <v>No</v>
      </c>
      <c r="S252" s="46" t="str">
        <f t="shared" si="67"/>
        <v>No</v>
      </c>
      <c r="T252" s="47">
        <f>ROUND(INDEX(Summary!H:H,MATCH(H:H,Summary!A:A,0)),2)</f>
        <v>0.43</v>
      </c>
      <c r="U252" s="47">
        <f>ROUND(INDEX(Summary!I:I,MATCH(H:H,Summary!A:A,0)),2)</f>
        <v>0.92</v>
      </c>
      <c r="V252" s="81">
        <f t="shared" si="68"/>
        <v>0</v>
      </c>
      <c r="W252" s="81">
        <f t="shared" si="68"/>
        <v>0</v>
      </c>
      <c r="X252" s="45">
        <f t="shared" si="69"/>
        <v>0</v>
      </c>
      <c r="Y252" s="45" t="s">
        <v>2752</v>
      </c>
      <c r="Z252" s="45" t="str">
        <f t="shared" si="70"/>
        <v>No</v>
      </c>
      <c r="AA252" s="45" t="str">
        <f t="shared" si="70"/>
        <v>No</v>
      </c>
      <c r="AB252" s="45" t="str">
        <f t="shared" si="71"/>
        <v>No</v>
      </c>
      <c r="AC252" s="82">
        <f t="shared" si="72"/>
        <v>0</v>
      </c>
      <c r="AD252" s="82">
        <f t="shared" si="72"/>
        <v>0</v>
      </c>
      <c r="AE252" s="45">
        <f t="shared" si="73"/>
        <v>0</v>
      </c>
      <c r="AF252" s="45">
        <f t="shared" si="73"/>
        <v>0</v>
      </c>
      <c r="AG252" s="45">
        <f t="shared" si="74"/>
        <v>0</v>
      </c>
      <c r="AH252" s="47">
        <f>IFERROR(ROUNDDOWN(INDEX('90% of ACR'!K:K,MATCH(H:H,'90% of ACR'!A:A,0))*IF(I252&gt;0,IF(O252&gt;0,$R$4*MAX(O252-V252,0),0),0)/I252,2),0)</f>
        <v>0</v>
      </c>
      <c r="AI252" s="82">
        <f>IFERROR(ROUNDDOWN(INDEX('90% of ACR'!R:R,MATCH(H:H,'90% of ACR'!A:A,0))*IF(J252&gt;0,IF(P252&gt;0,$R$4*MAX(P252-W252,0),0),0)/J252,2),0)</f>
        <v>0</v>
      </c>
      <c r="AJ252" s="45">
        <f t="shared" si="75"/>
        <v>0</v>
      </c>
      <c r="AK252" s="45">
        <f t="shared" si="75"/>
        <v>0</v>
      </c>
      <c r="AL252" s="47">
        <f t="shared" si="76"/>
        <v>0.43</v>
      </c>
      <c r="AM252" s="47">
        <f t="shared" si="76"/>
        <v>0.92</v>
      </c>
      <c r="AN252" s="83">
        <f>IFERROR(INDEX('Fee Calc'!P:P,MATCH(C252,'Fee Calc'!F:F,0)),0)</f>
        <v>0</v>
      </c>
      <c r="AO252" s="83">
        <f>IFERROR(INDEX('Fee Calc'!Q:Q,MATCH(C252,'Fee Calc'!F:F,0)),0)</f>
        <v>0</v>
      </c>
      <c r="AP252" s="83">
        <f t="shared" si="77"/>
        <v>0</v>
      </c>
      <c r="AQ252" s="70">
        <f t="shared" si="78"/>
        <v>0</v>
      </c>
      <c r="AR252" s="70">
        <f t="shared" si="79"/>
        <v>0</v>
      </c>
      <c r="AS252" s="70">
        <f t="shared" si="80"/>
        <v>0</v>
      </c>
    </row>
    <row r="253" spans="1:45">
      <c r="A253" s="104" t="s">
        <v>1392</v>
      </c>
      <c r="B253" s="124" t="s">
        <v>1392</v>
      </c>
      <c r="C253" s="31" t="s">
        <v>1393</v>
      </c>
      <c r="D253" s="125" t="s">
        <v>1393</v>
      </c>
      <c r="E253" s="119" t="s">
        <v>2673</v>
      </c>
      <c r="F253" s="100" t="s">
        <v>2279</v>
      </c>
      <c r="G253" s="100" t="s">
        <v>227</v>
      </c>
      <c r="H253" s="43" t="str">
        <f t="shared" si="63"/>
        <v>Urban MRSA West</v>
      </c>
      <c r="I253" s="45">
        <f>INDEX('Fee Calc'!M:M,MATCH(C:C,'Fee Calc'!F:F,0))</f>
        <v>0</v>
      </c>
      <c r="J253" s="45">
        <f>INDEX('Fee Calc'!L:L,MATCH(C:C,'Fee Calc'!F:F,0))</f>
        <v>0</v>
      </c>
      <c r="K253" s="45">
        <f t="shared" si="64"/>
        <v>0</v>
      </c>
      <c r="L253" s="45">
        <v>0</v>
      </c>
      <c r="M253" s="45">
        <v>0</v>
      </c>
      <c r="N253" s="45">
        <f t="shared" si="65"/>
        <v>0</v>
      </c>
      <c r="O253" s="45">
        <v>0</v>
      </c>
      <c r="P253" s="45">
        <v>0</v>
      </c>
      <c r="Q253" s="45">
        <f t="shared" si="66"/>
        <v>0</v>
      </c>
      <c r="R253" s="45" t="str">
        <f t="shared" si="67"/>
        <v>No</v>
      </c>
      <c r="S253" s="46" t="str">
        <f t="shared" si="67"/>
        <v>No</v>
      </c>
      <c r="T253" s="47">
        <f>ROUND(INDEX(Summary!H:H,MATCH(H:H,Summary!A:A,0)),2)</f>
        <v>0.28999999999999998</v>
      </c>
      <c r="U253" s="47">
        <f>ROUND(INDEX(Summary!I:I,MATCH(H:H,Summary!A:A,0)),2)</f>
        <v>0.79</v>
      </c>
      <c r="V253" s="81">
        <f t="shared" si="68"/>
        <v>0</v>
      </c>
      <c r="W253" s="81">
        <f t="shared" si="68"/>
        <v>0</v>
      </c>
      <c r="X253" s="45">
        <f t="shared" si="69"/>
        <v>0</v>
      </c>
      <c r="Y253" s="45" t="s">
        <v>2752</v>
      </c>
      <c r="Z253" s="45" t="str">
        <f t="shared" si="70"/>
        <v>No</v>
      </c>
      <c r="AA253" s="45" t="str">
        <f t="shared" si="70"/>
        <v>No</v>
      </c>
      <c r="AB253" s="45" t="str">
        <f t="shared" si="71"/>
        <v>No</v>
      </c>
      <c r="AC253" s="82">
        <f t="shared" si="72"/>
        <v>0</v>
      </c>
      <c r="AD253" s="82">
        <f t="shared" si="72"/>
        <v>0</v>
      </c>
      <c r="AE253" s="45">
        <f t="shared" si="73"/>
        <v>0</v>
      </c>
      <c r="AF253" s="45">
        <f t="shared" si="73"/>
        <v>0</v>
      </c>
      <c r="AG253" s="45">
        <f t="shared" si="74"/>
        <v>0</v>
      </c>
      <c r="AH253" s="47">
        <f>IFERROR(ROUNDDOWN(INDEX('90% of ACR'!K:K,MATCH(H:H,'90% of ACR'!A:A,0))*IF(I253&gt;0,IF(O253&gt;0,$R$4*MAX(O253-V253,0),0),0)/I253,2),0)</f>
        <v>0</v>
      </c>
      <c r="AI253" s="82">
        <f>IFERROR(ROUNDDOWN(INDEX('90% of ACR'!R:R,MATCH(H:H,'90% of ACR'!A:A,0))*IF(J253&gt;0,IF(P253&gt;0,$R$4*MAX(P253-W253,0),0),0)/J253,2),0)</f>
        <v>0</v>
      </c>
      <c r="AJ253" s="45">
        <f t="shared" si="75"/>
        <v>0</v>
      </c>
      <c r="AK253" s="45">
        <f t="shared" si="75"/>
        <v>0</v>
      </c>
      <c r="AL253" s="47">
        <f t="shared" si="76"/>
        <v>0.28999999999999998</v>
      </c>
      <c r="AM253" s="47">
        <f t="shared" si="76"/>
        <v>0.79</v>
      </c>
      <c r="AN253" s="83">
        <f>IFERROR(INDEX('Fee Calc'!P:P,MATCH(C253,'Fee Calc'!F:F,0)),0)</f>
        <v>0</v>
      </c>
      <c r="AO253" s="83">
        <f>IFERROR(INDEX('Fee Calc'!Q:Q,MATCH(C253,'Fee Calc'!F:F,0)),0)</f>
        <v>0</v>
      </c>
      <c r="AP253" s="83">
        <f t="shared" si="77"/>
        <v>0</v>
      </c>
      <c r="AQ253" s="70">
        <f t="shared" si="78"/>
        <v>0</v>
      </c>
      <c r="AR253" s="70">
        <f t="shared" si="79"/>
        <v>0</v>
      </c>
      <c r="AS253" s="70">
        <f t="shared" si="80"/>
        <v>0</v>
      </c>
    </row>
    <row r="254" spans="1:45">
      <c r="A254" s="104" t="s">
        <v>1140</v>
      </c>
      <c r="B254" s="124" t="s">
        <v>1140</v>
      </c>
      <c r="C254" s="31" t="s">
        <v>1141</v>
      </c>
      <c r="D254" s="125" t="s">
        <v>1141</v>
      </c>
      <c r="E254" s="119" t="s">
        <v>2874</v>
      </c>
      <c r="F254" s="100" t="s">
        <v>2291</v>
      </c>
      <c r="G254" s="100" t="s">
        <v>227</v>
      </c>
      <c r="H254" s="43" t="str">
        <f t="shared" si="63"/>
        <v>Rural MRSA West</v>
      </c>
      <c r="I254" s="45">
        <f>INDEX('Fee Calc'!M:M,MATCH(C:C,'Fee Calc'!F:F,0))</f>
        <v>131.90309118213122</v>
      </c>
      <c r="J254" s="45">
        <f>INDEX('Fee Calc'!L:L,MATCH(C:C,'Fee Calc'!F:F,0))</f>
        <v>63499.879655601864</v>
      </c>
      <c r="K254" s="45">
        <f t="shared" si="64"/>
        <v>63631.782746783996</v>
      </c>
      <c r="L254" s="45">
        <v>0</v>
      </c>
      <c r="M254" s="45">
        <v>15392.51</v>
      </c>
      <c r="N254" s="45">
        <f t="shared" si="65"/>
        <v>15392.51</v>
      </c>
      <c r="O254" s="45">
        <v>0</v>
      </c>
      <c r="P254" s="45">
        <v>-4828.5852508013741</v>
      </c>
      <c r="Q254" s="45">
        <f t="shared" si="66"/>
        <v>-4828.5852508013741</v>
      </c>
      <c r="R254" s="45" t="str">
        <f t="shared" si="67"/>
        <v>No</v>
      </c>
      <c r="S254" s="46" t="str">
        <f t="shared" si="67"/>
        <v>No</v>
      </c>
      <c r="T254" s="47">
        <f>ROUND(INDEX(Summary!H:H,MATCH(H:H,Summary!A:A,0)),2)</f>
        <v>0</v>
      </c>
      <c r="U254" s="47">
        <f>ROUND(INDEX(Summary!I:I,MATCH(H:H,Summary!A:A,0)),2)</f>
        <v>0.2</v>
      </c>
      <c r="V254" s="81">
        <f t="shared" si="68"/>
        <v>0</v>
      </c>
      <c r="W254" s="81">
        <f t="shared" si="68"/>
        <v>12699.975931120374</v>
      </c>
      <c r="X254" s="45">
        <f t="shared" si="69"/>
        <v>12699.975931120374</v>
      </c>
      <c r="Y254" s="45" t="s">
        <v>2752</v>
      </c>
      <c r="Z254" s="45" t="str">
        <f t="shared" si="70"/>
        <v>No</v>
      </c>
      <c r="AA254" s="45" t="str">
        <f t="shared" si="70"/>
        <v>No</v>
      </c>
      <c r="AB254" s="45" t="str">
        <f t="shared" si="71"/>
        <v>No</v>
      </c>
      <c r="AC254" s="82">
        <f t="shared" si="72"/>
        <v>0</v>
      </c>
      <c r="AD254" s="82">
        <f t="shared" si="72"/>
        <v>0</v>
      </c>
      <c r="AE254" s="45">
        <f t="shared" si="73"/>
        <v>0</v>
      </c>
      <c r="AF254" s="45">
        <f t="shared" si="73"/>
        <v>0</v>
      </c>
      <c r="AG254" s="45">
        <f t="shared" si="74"/>
        <v>0</v>
      </c>
      <c r="AH254" s="47">
        <f>IFERROR(ROUNDDOWN(INDEX('90% of ACR'!K:K,MATCH(H:H,'90% of ACR'!A:A,0))*IF(I254&gt;0,IF(O254&gt;0,$R$4*MAX(O254-V254,0),0),0)/I254,2),0)</f>
        <v>0</v>
      </c>
      <c r="AI254" s="82">
        <f>IFERROR(ROUNDDOWN(INDEX('90% of ACR'!R:R,MATCH(H:H,'90% of ACR'!A:A,0))*IF(J254&gt;0,IF(P254&gt;0,$R$4*MAX(P254-W254,0),0),0)/J254,2),0)</f>
        <v>0</v>
      </c>
      <c r="AJ254" s="45">
        <f t="shared" si="75"/>
        <v>0</v>
      </c>
      <c r="AK254" s="45">
        <f t="shared" si="75"/>
        <v>0</v>
      </c>
      <c r="AL254" s="47">
        <f t="shared" si="76"/>
        <v>0</v>
      </c>
      <c r="AM254" s="47">
        <f t="shared" si="76"/>
        <v>0.2</v>
      </c>
      <c r="AN254" s="83">
        <f>IFERROR(INDEX('Fee Calc'!P:P,MATCH(C254,'Fee Calc'!F:F,0)),0)</f>
        <v>12699.975931120374</v>
      </c>
      <c r="AO254" s="83">
        <f>IFERROR(INDEX('Fee Calc'!Q:Q,MATCH(C254,'Fee Calc'!F:F,0)),0)</f>
        <v>777.67664528180001</v>
      </c>
      <c r="AP254" s="83">
        <f t="shared" si="77"/>
        <v>13477.652576402174</v>
      </c>
      <c r="AQ254" s="70">
        <f t="shared" si="78"/>
        <v>5755.3889350061727</v>
      </c>
      <c r="AR254" s="70">
        <f t="shared" si="79"/>
        <v>2877.6944675030863</v>
      </c>
      <c r="AS254" s="70">
        <f t="shared" si="80"/>
        <v>2877.6944675030863</v>
      </c>
    </row>
    <row r="255" spans="1:45" ht="25.5">
      <c r="A255" s="104" t="s">
        <v>1330</v>
      </c>
      <c r="B255" s="124" t="s">
        <v>1330</v>
      </c>
      <c r="C255" s="31" t="s">
        <v>1331</v>
      </c>
      <c r="D255" s="125" t="s">
        <v>1331</v>
      </c>
      <c r="E255" s="119" t="s">
        <v>2383</v>
      </c>
      <c r="F255" s="100" t="s">
        <v>2529</v>
      </c>
      <c r="G255" s="100" t="s">
        <v>1514</v>
      </c>
      <c r="H255" s="43" t="str">
        <f t="shared" si="63"/>
        <v>Non-state-owned IMD Hidalgo</v>
      </c>
      <c r="I255" s="45">
        <f>INDEX('Fee Calc'!M:M,MATCH(C:C,'Fee Calc'!F:F,0))</f>
        <v>2645779.3183898861</v>
      </c>
      <c r="J255" s="45">
        <f>INDEX('Fee Calc'!L:L,MATCH(C:C,'Fee Calc'!F:F,0))</f>
        <v>0</v>
      </c>
      <c r="K255" s="45">
        <f t="shared" si="64"/>
        <v>2645779.3183898861</v>
      </c>
      <c r="L255" s="45">
        <v>323863.51</v>
      </c>
      <c r="M255" s="45">
        <v>0</v>
      </c>
      <c r="N255" s="45">
        <f t="shared" si="65"/>
        <v>323863.51</v>
      </c>
      <c r="O255" s="45">
        <v>338881.61818076274</v>
      </c>
      <c r="P255" s="45">
        <v>0</v>
      </c>
      <c r="Q255" s="45">
        <f t="shared" si="66"/>
        <v>338881.61818076274</v>
      </c>
      <c r="R255" s="45" t="str">
        <f t="shared" si="67"/>
        <v>Yes</v>
      </c>
      <c r="S255" s="46" t="str">
        <f t="shared" si="67"/>
        <v>No</v>
      </c>
      <c r="T255" s="47">
        <f>ROUND(INDEX(Summary!H:H,MATCH(H:H,Summary!A:A,0)),2)</f>
        <v>0.12</v>
      </c>
      <c r="U255" s="47">
        <f>ROUND(INDEX(Summary!I:I,MATCH(H:H,Summary!A:A,0)),2)</f>
        <v>0</v>
      </c>
      <c r="V255" s="81">
        <f t="shared" si="68"/>
        <v>317493.51820678631</v>
      </c>
      <c r="W255" s="81">
        <f t="shared" si="68"/>
        <v>0</v>
      </c>
      <c r="X255" s="45">
        <f t="shared" si="69"/>
        <v>317493.51820678631</v>
      </c>
      <c r="Y255" s="45" t="s">
        <v>2752</v>
      </c>
      <c r="Z255" s="45" t="str">
        <f t="shared" si="70"/>
        <v>No</v>
      </c>
      <c r="AA255" s="45" t="str">
        <f t="shared" si="70"/>
        <v>No</v>
      </c>
      <c r="AB255" s="45" t="str">
        <f t="shared" si="71"/>
        <v>Yes</v>
      </c>
      <c r="AC255" s="82">
        <f t="shared" si="72"/>
        <v>0.01</v>
      </c>
      <c r="AD255" s="82">
        <f t="shared" si="72"/>
        <v>0</v>
      </c>
      <c r="AE255" s="45">
        <f t="shared" si="73"/>
        <v>26457.793183898862</v>
      </c>
      <c r="AF255" s="45">
        <f t="shared" si="73"/>
        <v>0</v>
      </c>
      <c r="AG255" s="45">
        <f t="shared" si="74"/>
        <v>26457.793183898862</v>
      </c>
      <c r="AH255" s="47">
        <f>IFERROR(ROUNDDOWN(INDEX('90% of ACR'!K:K,MATCH(H:H,'90% of ACR'!A:A,0))*IF(I255&gt;0,IF(O255&gt;0,$R$4*MAX(O255-V255,0),0),0)/I255,2),0)</f>
        <v>0</v>
      </c>
      <c r="AI255" s="82">
        <f>IFERROR(ROUNDDOWN(INDEX('90% of ACR'!R:R,MATCH(H:H,'90% of ACR'!A:A,0))*IF(J255&gt;0,IF(P255&gt;0,$R$4*MAX(P255-W255,0),0),0)/J255,2),0)</f>
        <v>0</v>
      </c>
      <c r="AJ255" s="45">
        <f t="shared" si="75"/>
        <v>0</v>
      </c>
      <c r="AK255" s="45">
        <f t="shared" si="75"/>
        <v>0</v>
      </c>
      <c r="AL255" s="47">
        <f t="shared" si="76"/>
        <v>0.12</v>
      </c>
      <c r="AM255" s="47">
        <f t="shared" si="76"/>
        <v>0</v>
      </c>
      <c r="AN255" s="83">
        <f>IFERROR(INDEX('Fee Calc'!P:P,MATCH(C255,'Fee Calc'!F:F,0)),0)</f>
        <v>317493.51820678631</v>
      </c>
      <c r="AO255" s="83">
        <f>IFERROR(INDEX('Fee Calc'!Q:Q,MATCH(C255,'Fee Calc'!F:F,0)),0)</f>
        <v>19369.63108423365</v>
      </c>
      <c r="AP255" s="83">
        <f t="shared" si="77"/>
        <v>336863.14929101994</v>
      </c>
      <c r="AQ255" s="70">
        <f t="shared" si="78"/>
        <v>143851.34436804283</v>
      </c>
      <c r="AR255" s="70">
        <f t="shared" si="79"/>
        <v>71925.672184021416</v>
      </c>
      <c r="AS255" s="70">
        <f t="shared" si="80"/>
        <v>71925.672184021416</v>
      </c>
    </row>
    <row r="256" spans="1:45" ht="25.5">
      <c r="A256" s="104" t="s">
        <v>2959</v>
      </c>
      <c r="B256" s="124" t="s">
        <v>2959</v>
      </c>
      <c r="C256" s="31" t="s">
        <v>2954</v>
      </c>
      <c r="D256" s="125" t="s">
        <v>2954</v>
      </c>
      <c r="E256" s="119" t="s">
        <v>2875</v>
      </c>
      <c r="F256" s="100" t="s">
        <v>2529</v>
      </c>
      <c r="G256" s="100" t="s">
        <v>1486</v>
      </c>
      <c r="H256" s="43" t="str">
        <f t="shared" si="63"/>
        <v>Non-state-owned IMD MRSA Central</v>
      </c>
      <c r="I256" s="45">
        <f>INDEX('Fee Calc'!M:M,MATCH(C:C,'Fee Calc'!F:F,0))</f>
        <v>0</v>
      </c>
      <c r="J256" s="45">
        <f>INDEX('Fee Calc'!L:L,MATCH(C:C,'Fee Calc'!F:F,0))</f>
        <v>0</v>
      </c>
      <c r="K256" s="45">
        <f t="shared" si="64"/>
        <v>0</v>
      </c>
      <c r="L256" s="45">
        <v>0</v>
      </c>
      <c r="M256" s="45">
        <v>0</v>
      </c>
      <c r="N256" s="45">
        <f t="shared" si="65"/>
        <v>0</v>
      </c>
      <c r="O256" s="45">
        <v>0</v>
      </c>
      <c r="P256" s="45">
        <v>0</v>
      </c>
      <c r="Q256" s="45">
        <f t="shared" si="66"/>
        <v>0</v>
      </c>
      <c r="R256" s="45" t="str">
        <f t="shared" si="67"/>
        <v>No</v>
      </c>
      <c r="S256" s="46" t="str">
        <f t="shared" si="67"/>
        <v>No</v>
      </c>
      <c r="T256" s="47">
        <f>ROUND(INDEX(Summary!H:H,MATCH(H:H,Summary!A:A,0)),2)</f>
        <v>0.53</v>
      </c>
      <c r="U256" s="47">
        <f>ROUND(INDEX(Summary!I:I,MATCH(H:H,Summary!A:A,0)),2)</f>
        <v>0</v>
      </c>
      <c r="V256" s="81">
        <f t="shared" si="68"/>
        <v>0</v>
      </c>
      <c r="W256" s="81">
        <f t="shared" si="68"/>
        <v>0</v>
      </c>
      <c r="X256" s="45">
        <f t="shared" si="69"/>
        <v>0</v>
      </c>
      <c r="Y256" s="45" t="s">
        <v>2752</v>
      </c>
      <c r="Z256" s="45" t="str">
        <f t="shared" si="70"/>
        <v>No</v>
      </c>
      <c r="AA256" s="45" t="str">
        <f t="shared" si="70"/>
        <v>No</v>
      </c>
      <c r="AB256" s="45" t="str">
        <f t="shared" si="71"/>
        <v>No</v>
      </c>
      <c r="AC256" s="82">
        <f t="shared" si="72"/>
        <v>0</v>
      </c>
      <c r="AD256" s="82">
        <f t="shared" si="72"/>
        <v>0</v>
      </c>
      <c r="AE256" s="45">
        <f t="shared" si="73"/>
        <v>0</v>
      </c>
      <c r="AF256" s="45">
        <f t="shared" si="73"/>
        <v>0</v>
      </c>
      <c r="AG256" s="45">
        <f t="shared" si="74"/>
        <v>0</v>
      </c>
      <c r="AH256" s="47">
        <f>IFERROR(ROUNDDOWN(INDEX('90% of ACR'!K:K,MATCH(H:H,'90% of ACR'!A:A,0))*IF(I256&gt;0,IF(O256&gt;0,$R$4*MAX(O256-V256,0),0),0)/I256,2),0)</f>
        <v>0</v>
      </c>
      <c r="AI256" s="82">
        <f>IFERROR(ROUNDDOWN(INDEX('90% of ACR'!R:R,MATCH(H:H,'90% of ACR'!A:A,0))*IF(J256&gt;0,IF(P256&gt;0,$R$4*MAX(P256-W256,0),0),0)/J256,2),0)</f>
        <v>0</v>
      </c>
      <c r="AJ256" s="45">
        <f t="shared" si="75"/>
        <v>0</v>
      </c>
      <c r="AK256" s="45">
        <f t="shared" si="75"/>
        <v>0</v>
      </c>
      <c r="AL256" s="47">
        <f t="shared" si="76"/>
        <v>0.53</v>
      </c>
      <c r="AM256" s="47">
        <f t="shared" si="76"/>
        <v>0</v>
      </c>
      <c r="AN256" s="83">
        <f>IFERROR(INDEX('Fee Calc'!P:P,MATCH(C256,'Fee Calc'!F:F,0)),0)</f>
        <v>0</v>
      </c>
      <c r="AO256" s="83">
        <f>IFERROR(INDEX('Fee Calc'!Q:Q,MATCH(C256,'Fee Calc'!F:F,0)),0)</f>
        <v>0</v>
      </c>
      <c r="AP256" s="83">
        <f t="shared" si="77"/>
        <v>0</v>
      </c>
      <c r="AQ256" s="70">
        <f t="shared" si="78"/>
        <v>0</v>
      </c>
      <c r="AR256" s="70">
        <f t="shared" si="79"/>
        <v>0</v>
      </c>
      <c r="AS256" s="70">
        <f t="shared" si="80"/>
        <v>0</v>
      </c>
    </row>
    <row r="257" spans="1:45">
      <c r="A257" s="104" t="s">
        <v>1162</v>
      </c>
      <c r="B257" s="124" t="s">
        <v>1162</v>
      </c>
      <c r="C257" s="31" t="s">
        <v>1163</v>
      </c>
      <c r="D257" s="125" t="s">
        <v>1163</v>
      </c>
      <c r="E257" s="119" t="s">
        <v>2659</v>
      </c>
      <c r="F257" s="100" t="s">
        <v>2279</v>
      </c>
      <c r="G257" s="100" t="s">
        <v>227</v>
      </c>
      <c r="H257" s="43" t="str">
        <f t="shared" si="63"/>
        <v>Urban MRSA West</v>
      </c>
      <c r="I257" s="45">
        <f>INDEX('Fee Calc'!M:M,MATCH(C:C,'Fee Calc'!F:F,0))</f>
        <v>12574786.387650752</v>
      </c>
      <c r="J257" s="45">
        <f>INDEX('Fee Calc'!L:L,MATCH(C:C,'Fee Calc'!F:F,0))</f>
        <v>4972881.5592489662</v>
      </c>
      <c r="K257" s="45">
        <f t="shared" si="64"/>
        <v>17547667.94689972</v>
      </c>
      <c r="L257" s="45">
        <v>6206413.8099999996</v>
      </c>
      <c r="M257" s="45">
        <v>3690259.68</v>
      </c>
      <c r="N257" s="45">
        <f t="shared" si="65"/>
        <v>9896673.4900000002</v>
      </c>
      <c r="O257" s="45">
        <v>8498503.9211077057</v>
      </c>
      <c r="P257" s="45">
        <v>3931233.6183083286</v>
      </c>
      <c r="Q257" s="45">
        <f t="shared" si="66"/>
        <v>12429737.539416034</v>
      </c>
      <c r="R257" s="45" t="str">
        <f t="shared" si="67"/>
        <v>Yes</v>
      </c>
      <c r="S257" s="46" t="str">
        <f t="shared" si="67"/>
        <v>Yes</v>
      </c>
      <c r="T257" s="47">
        <f>ROUND(INDEX(Summary!H:H,MATCH(H:H,Summary!A:A,0)),2)</f>
        <v>0.28999999999999998</v>
      </c>
      <c r="U257" s="47">
        <f>ROUND(INDEX(Summary!I:I,MATCH(H:H,Summary!A:A,0)),2)</f>
        <v>0.79</v>
      </c>
      <c r="V257" s="81">
        <f t="shared" si="68"/>
        <v>3646688.0524187181</v>
      </c>
      <c r="W257" s="81">
        <f t="shared" si="68"/>
        <v>3928576.4318066835</v>
      </c>
      <c r="X257" s="45">
        <f t="shared" si="69"/>
        <v>7575264.4842254017</v>
      </c>
      <c r="Y257" s="45" t="s">
        <v>2752</v>
      </c>
      <c r="Z257" s="45" t="str">
        <f t="shared" si="70"/>
        <v>Yes</v>
      </c>
      <c r="AA257" s="45" t="str">
        <f t="shared" si="70"/>
        <v>No</v>
      </c>
      <c r="AB257" s="45" t="str">
        <f t="shared" si="71"/>
        <v>Yes</v>
      </c>
      <c r="AC257" s="82">
        <f t="shared" si="72"/>
        <v>0.27</v>
      </c>
      <c r="AD257" s="82">
        <f t="shared" si="72"/>
        <v>0</v>
      </c>
      <c r="AE257" s="45">
        <f t="shared" si="73"/>
        <v>3395192.3246657033</v>
      </c>
      <c r="AF257" s="45">
        <f t="shared" si="73"/>
        <v>0</v>
      </c>
      <c r="AG257" s="45">
        <f t="shared" si="74"/>
        <v>3395192.3246657033</v>
      </c>
      <c r="AH257" s="47">
        <f>IFERROR(ROUNDDOWN(INDEX('90% of ACR'!K:K,MATCH(H:H,'90% of ACR'!A:A,0))*IF(I257&gt;0,IF(O257&gt;0,$R$4*MAX(O257-V257,0),0),0)/I257,2),0)</f>
        <v>0.26</v>
      </c>
      <c r="AI257" s="82">
        <f>IFERROR(ROUNDDOWN(INDEX('90% of ACR'!R:R,MATCH(H:H,'90% of ACR'!A:A,0))*IF(J257&gt;0,IF(P257&gt;0,$R$4*MAX(P257-W257,0),0),0)/J257,2),0)</f>
        <v>0</v>
      </c>
      <c r="AJ257" s="45">
        <f t="shared" si="75"/>
        <v>3269444.4607891957</v>
      </c>
      <c r="AK257" s="45">
        <f t="shared" si="75"/>
        <v>0</v>
      </c>
      <c r="AL257" s="47">
        <f t="shared" si="76"/>
        <v>0.55000000000000004</v>
      </c>
      <c r="AM257" s="47">
        <f t="shared" si="76"/>
        <v>0.79</v>
      </c>
      <c r="AN257" s="83">
        <f>IFERROR(INDEX('Fee Calc'!P:P,MATCH(C257,'Fee Calc'!F:F,0)),0)</f>
        <v>10844708.945014598</v>
      </c>
      <c r="AO257" s="83">
        <f>IFERROR(INDEX('Fee Calc'!Q:Q,MATCH(C257,'Fee Calc'!F:F,0)),0)</f>
        <v>668927.21522235079</v>
      </c>
      <c r="AP257" s="83">
        <f t="shared" si="77"/>
        <v>11513636.160236949</v>
      </c>
      <c r="AQ257" s="70">
        <f t="shared" si="78"/>
        <v>4916691.0767783048</v>
      </c>
      <c r="AR257" s="70">
        <f t="shared" si="79"/>
        <v>2458345.5383891524</v>
      </c>
      <c r="AS257" s="70">
        <f t="shared" si="80"/>
        <v>2458345.5383891524</v>
      </c>
    </row>
    <row r="258" spans="1:45" ht="25.5">
      <c r="A258" s="104" t="s">
        <v>2301</v>
      </c>
      <c r="B258" s="124" t="s">
        <v>2301</v>
      </c>
      <c r="C258" s="31" t="s">
        <v>2302</v>
      </c>
      <c r="D258" s="125" t="s">
        <v>2302</v>
      </c>
      <c r="E258" s="119" t="s">
        <v>2684</v>
      </c>
      <c r="F258" s="100" t="s">
        <v>2950</v>
      </c>
      <c r="G258" s="100" t="s">
        <v>1202</v>
      </c>
      <c r="H258" s="43" t="str">
        <f t="shared" si="63"/>
        <v>State-owned IMD Travis</v>
      </c>
      <c r="I258" s="45">
        <f>INDEX('Fee Calc'!M:M,MATCH(C:C,'Fee Calc'!F:F,0))</f>
        <v>141965.57315246359</v>
      </c>
      <c r="J258" s="45">
        <f>INDEX('Fee Calc'!L:L,MATCH(C:C,'Fee Calc'!F:F,0))</f>
        <v>0</v>
      </c>
      <c r="K258" s="45">
        <f t="shared" si="64"/>
        <v>141965.57315246359</v>
      </c>
      <c r="L258" s="45">
        <v>350612</v>
      </c>
      <c r="M258" s="45">
        <v>0</v>
      </c>
      <c r="N258" s="45">
        <f t="shared" si="65"/>
        <v>350612</v>
      </c>
      <c r="O258" s="45">
        <v>-349934.48</v>
      </c>
      <c r="P258" s="45">
        <v>0</v>
      </c>
      <c r="Q258" s="45">
        <f t="shared" si="66"/>
        <v>-349934.48</v>
      </c>
      <c r="R258" s="45" t="str">
        <f t="shared" si="67"/>
        <v>No</v>
      </c>
      <c r="S258" s="46" t="str">
        <f t="shared" si="67"/>
        <v>No</v>
      </c>
      <c r="T258" s="47">
        <f>ROUND(INDEX(Summary!H:H,MATCH(H:H,Summary!A:A,0)),2)</f>
        <v>2.4700000000000002</v>
      </c>
      <c r="U258" s="47">
        <f>ROUND(INDEX(Summary!I:I,MATCH(H:H,Summary!A:A,0)),2)</f>
        <v>0</v>
      </c>
      <c r="V258" s="81">
        <f t="shared" si="68"/>
        <v>350654.96568658511</v>
      </c>
      <c r="W258" s="81">
        <f t="shared" si="68"/>
        <v>0</v>
      </c>
      <c r="X258" s="45">
        <f t="shared" si="69"/>
        <v>350654.96568658511</v>
      </c>
      <c r="Y258" s="45" t="s">
        <v>2752</v>
      </c>
      <c r="Z258" s="45" t="str">
        <f t="shared" si="70"/>
        <v>No</v>
      </c>
      <c r="AA258" s="45" t="str">
        <f t="shared" si="70"/>
        <v>No</v>
      </c>
      <c r="AB258" s="45" t="str">
        <f t="shared" si="71"/>
        <v>No</v>
      </c>
      <c r="AC258" s="82">
        <f t="shared" si="72"/>
        <v>0</v>
      </c>
      <c r="AD258" s="82">
        <f t="shared" si="72"/>
        <v>0</v>
      </c>
      <c r="AE258" s="45">
        <f t="shared" si="73"/>
        <v>0</v>
      </c>
      <c r="AF258" s="45">
        <f t="shared" si="73"/>
        <v>0</v>
      </c>
      <c r="AG258" s="45">
        <f t="shared" si="74"/>
        <v>0</v>
      </c>
      <c r="AH258" s="47">
        <f>IFERROR(ROUNDDOWN(INDEX('90% of ACR'!K:K,MATCH(H:H,'90% of ACR'!A:A,0))*IF(I258&gt;0,IF(O258&gt;0,$R$4*MAX(O258-V258,0),0),0)/I258,2),0)</f>
        <v>0</v>
      </c>
      <c r="AI258" s="82">
        <f>IFERROR(ROUNDDOWN(INDEX('90% of ACR'!R:R,MATCH(H:H,'90% of ACR'!A:A,0))*IF(J258&gt;0,IF(P258&gt;0,$R$4*MAX(P258-W258,0),0),0)/J258,2),0)</f>
        <v>0</v>
      </c>
      <c r="AJ258" s="45">
        <f t="shared" si="75"/>
        <v>0</v>
      </c>
      <c r="AK258" s="45">
        <f t="shared" si="75"/>
        <v>0</v>
      </c>
      <c r="AL258" s="47">
        <f t="shared" si="76"/>
        <v>2.4700000000000002</v>
      </c>
      <c r="AM258" s="47">
        <f t="shared" si="76"/>
        <v>0</v>
      </c>
      <c r="AN258" s="83">
        <f>IFERROR(INDEX('Fee Calc'!P:P,MATCH(C258,'Fee Calc'!F:F,0)),0)</f>
        <v>350654.96568658511</v>
      </c>
      <c r="AO258" s="83">
        <f>IFERROR(INDEX('Fee Calc'!Q:Q,MATCH(C258,'Fee Calc'!F:F,0)),0)</f>
        <v>21392.743264698824</v>
      </c>
      <c r="AP258" s="83">
        <f t="shared" si="77"/>
        <v>372047.70895128394</v>
      </c>
      <c r="AQ258" s="70">
        <f t="shared" si="78"/>
        <v>158876.27724888467</v>
      </c>
      <c r="AR258" s="70">
        <f t="shared" si="79"/>
        <v>79438.138624442334</v>
      </c>
      <c r="AS258" s="70">
        <f t="shared" si="80"/>
        <v>79438.138624442334</v>
      </c>
    </row>
    <row r="259" spans="1:45">
      <c r="A259" s="104" t="s">
        <v>1745</v>
      </c>
      <c r="B259" s="124" t="s">
        <v>1745</v>
      </c>
      <c r="C259" s="31" t="s">
        <v>1744</v>
      </c>
      <c r="D259" s="125" t="s">
        <v>1744</v>
      </c>
      <c r="E259" s="119" t="s">
        <v>2691</v>
      </c>
      <c r="F259" s="100" t="s">
        <v>2291</v>
      </c>
      <c r="G259" s="100" t="s">
        <v>227</v>
      </c>
      <c r="H259" s="43" t="str">
        <f t="shared" si="63"/>
        <v>Rural MRSA West</v>
      </c>
      <c r="I259" s="45">
        <f>INDEX('Fee Calc'!M:M,MATCH(C:C,'Fee Calc'!F:F,0))</f>
        <v>78092.228175764816</v>
      </c>
      <c r="J259" s="45">
        <f>INDEX('Fee Calc'!L:L,MATCH(C:C,'Fee Calc'!F:F,0))</f>
        <v>2462.626211352595</v>
      </c>
      <c r="K259" s="45">
        <f t="shared" si="64"/>
        <v>80554.854387117404</v>
      </c>
      <c r="L259" s="45">
        <v>0</v>
      </c>
      <c r="M259" s="45">
        <v>6669.06</v>
      </c>
      <c r="N259" s="45">
        <f t="shared" si="65"/>
        <v>6669.06</v>
      </c>
      <c r="O259" s="45">
        <v>0</v>
      </c>
      <c r="P259" s="45">
        <v>9713.5871508389173</v>
      </c>
      <c r="Q259" s="45">
        <f t="shared" si="66"/>
        <v>9713.5871508389173</v>
      </c>
      <c r="R259" s="45" t="str">
        <f t="shared" si="67"/>
        <v>No</v>
      </c>
      <c r="S259" s="46" t="str">
        <f t="shared" si="67"/>
        <v>Yes</v>
      </c>
      <c r="T259" s="47">
        <f>ROUND(INDEX(Summary!H:H,MATCH(H:H,Summary!A:A,0)),2)</f>
        <v>0</v>
      </c>
      <c r="U259" s="47">
        <f>ROUND(INDEX(Summary!I:I,MATCH(H:H,Summary!A:A,0)),2)</f>
        <v>0.2</v>
      </c>
      <c r="V259" s="81">
        <f t="shared" si="68"/>
        <v>0</v>
      </c>
      <c r="W259" s="81">
        <f t="shared" si="68"/>
        <v>492.52524227051902</v>
      </c>
      <c r="X259" s="45">
        <f t="shared" si="69"/>
        <v>492.52524227051902</v>
      </c>
      <c r="Y259" s="45" t="s">
        <v>2752</v>
      </c>
      <c r="Z259" s="45" t="str">
        <f t="shared" si="70"/>
        <v>No</v>
      </c>
      <c r="AA259" s="45" t="str">
        <f t="shared" si="70"/>
        <v>Yes</v>
      </c>
      <c r="AB259" s="45" t="str">
        <f t="shared" si="71"/>
        <v>Yes</v>
      </c>
      <c r="AC259" s="82">
        <f t="shared" si="72"/>
        <v>0</v>
      </c>
      <c r="AD259" s="82">
        <f t="shared" si="72"/>
        <v>2.61</v>
      </c>
      <c r="AE259" s="45">
        <f t="shared" si="73"/>
        <v>0</v>
      </c>
      <c r="AF259" s="45">
        <f t="shared" si="73"/>
        <v>6427.4544116302723</v>
      </c>
      <c r="AG259" s="45">
        <f t="shared" si="74"/>
        <v>6427.4544116302723</v>
      </c>
      <c r="AH259" s="47">
        <f>IFERROR(ROUNDDOWN(INDEX('90% of ACR'!K:K,MATCH(H:H,'90% of ACR'!A:A,0))*IF(I259&gt;0,IF(O259&gt;0,$R$4*MAX(O259-V259,0),0),0)/I259,2),0)</f>
        <v>0</v>
      </c>
      <c r="AI259" s="82">
        <f>IFERROR(ROUNDDOWN(INDEX('90% of ACR'!R:R,MATCH(H:H,'90% of ACR'!A:A,0))*IF(J259&gt;0,IF(P259&gt;0,$R$4*MAX(P259-W259,0),0),0)/J259,2),0)</f>
        <v>2.2799999999999998</v>
      </c>
      <c r="AJ259" s="45">
        <f t="shared" si="75"/>
        <v>0</v>
      </c>
      <c r="AK259" s="45">
        <f t="shared" si="75"/>
        <v>5614.7877618839157</v>
      </c>
      <c r="AL259" s="47">
        <f t="shared" si="76"/>
        <v>0</v>
      </c>
      <c r="AM259" s="47">
        <f t="shared" si="76"/>
        <v>2.48</v>
      </c>
      <c r="AN259" s="83">
        <f>IFERROR(INDEX('Fee Calc'!P:P,MATCH(C259,'Fee Calc'!F:F,0)),0)</f>
        <v>6107.3130041544355</v>
      </c>
      <c r="AO259" s="83">
        <f>IFERROR(INDEX('Fee Calc'!Q:Q,MATCH(C259,'Fee Calc'!F:F,0)),0)</f>
        <v>389.82848962687888</v>
      </c>
      <c r="AP259" s="83">
        <f t="shared" si="77"/>
        <v>6497.1414937813142</v>
      </c>
      <c r="AQ259" s="70">
        <f t="shared" si="78"/>
        <v>2774.4873263724226</v>
      </c>
      <c r="AR259" s="70">
        <f t="shared" si="79"/>
        <v>1387.2436631862113</v>
      </c>
      <c r="AS259" s="70">
        <f t="shared" si="80"/>
        <v>1387.2436631862113</v>
      </c>
    </row>
    <row r="260" spans="1:45">
      <c r="A260" s="104" t="s">
        <v>512</v>
      </c>
      <c r="B260" s="124" t="s">
        <v>512</v>
      </c>
      <c r="C260" s="31" t="s">
        <v>513</v>
      </c>
      <c r="D260" s="125" t="s">
        <v>513</v>
      </c>
      <c r="E260" s="119" t="s">
        <v>2683</v>
      </c>
      <c r="F260" s="100" t="s">
        <v>2291</v>
      </c>
      <c r="G260" s="100" t="s">
        <v>227</v>
      </c>
      <c r="H260" s="43" t="str">
        <f t="shared" si="63"/>
        <v>Rural MRSA West</v>
      </c>
      <c r="I260" s="45">
        <f>INDEX('Fee Calc'!M:M,MATCH(C:C,'Fee Calc'!F:F,0))</f>
        <v>414280.91464558931</v>
      </c>
      <c r="J260" s="45">
        <f>INDEX('Fee Calc'!L:L,MATCH(C:C,'Fee Calc'!F:F,0))</f>
        <v>283947.94676451728</v>
      </c>
      <c r="K260" s="45">
        <f t="shared" si="64"/>
        <v>698228.86141010653</v>
      </c>
      <c r="L260" s="45">
        <v>97404.14</v>
      </c>
      <c r="M260" s="45">
        <v>54595.85</v>
      </c>
      <c r="N260" s="45">
        <f t="shared" si="65"/>
        <v>151999.99</v>
      </c>
      <c r="O260" s="45">
        <v>37003.776263498905</v>
      </c>
      <c r="P260" s="45">
        <v>61529.440759578356</v>
      </c>
      <c r="Q260" s="45">
        <f t="shared" si="66"/>
        <v>98533.217023077261</v>
      </c>
      <c r="R260" s="45" t="str">
        <f t="shared" si="67"/>
        <v>Yes</v>
      </c>
      <c r="S260" s="46" t="str">
        <f t="shared" si="67"/>
        <v>Yes</v>
      </c>
      <c r="T260" s="47">
        <f>ROUND(INDEX(Summary!H:H,MATCH(H:H,Summary!A:A,0)),2)</f>
        <v>0</v>
      </c>
      <c r="U260" s="47">
        <f>ROUND(INDEX(Summary!I:I,MATCH(H:H,Summary!A:A,0)),2)</f>
        <v>0.2</v>
      </c>
      <c r="V260" s="81">
        <f t="shared" si="68"/>
        <v>0</v>
      </c>
      <c r="W260" s="81">
        <f t="shared" si="68"/>
        <v>56789.589352903458</v>
      </c>
      <c r="X260" s="45">
        <f t="shared" si="69"/>
        <v>56789.589352903458</v>
      </c>
      <c r="Y260" s="45" t="s">
        <v>2752</v>
      </c>
      <c r="Z260" s="45" t="str">
        <f t="shared" si="70"/>
        <v>No</v>
      </c>
      <c r="AA260" s="45" t="str">
        <f t="shared" si="70"/>
        <v>Yes</v>
      </c>
      <c r="AB260" s="45" t="str">
        <f t="shared" si="71"/>
        <v>Yes</v>
      </c>
      <c r="AC260" s="82">
        <f t="shared" si="72"/>
        <v>0.06</v>
      </c>
      <c r="AD260" s="82">
        <f t="shared" si="72"/>
        <v>0.01</v>
      </c>
      <c r="AE260" s="45">
        <f t="shared" si="73"/>
        <v>24856.854878735357</v>
      </c>
      <c r="AF260" s="45">
        <f t="shared" si="73"/>
        <v>2839.4794676451729</v>
      </c>
      <c r="AG260" s="45">
        <f t="shared" si="74"/>
        <v>27696.334346380529</v>
      </c>
      <c r="AH260" s="47">
        <f>IFERROR(ROUNDDOWN(INDEX('90% of ACR'!K:K,MATCH(H:H,'90% of ACR'!A:A,0))*IF(I260&gt;0,IF(O260&gt;0,$R$4*MAX(O260-V260,0),0),0)/I260,2),0)</f>
        <v>0</v>
      </c>
      <c r="AI260" s="82">
        <f>IFERROR(ROUNDDOWN(INDEX('90% of ACR'!R:R,MATCH(H:H,'90% of ACR'!A:A,0))*IF(J260&gt;0,IF(P260&gt;0,$R$4*MAX(P260-W260,0),0),0)/J260,2),0)</f>
        <v>0.01</v>
      </c>
      <c r="AJ260" s="45">
        <f t="shared" si="75"/>
        <v>0</v>
      </c>
      <c r="AK260" s="45">
        <f t="shared" si="75"/>
        <v>2839.4794676451729</v>
      </c>
      <c r="AL260" s="47">
        <f t="shared" si="76"/>
        <v>0</v>
      </c>
      <c r="AM260" s="47">
        <f t="shared" si="76"/>
        <v>0.21000000000000002</v>
      </c>
      <c r="AN260" s="83">
        <f>IFERROR(INDEX('Fee Calc'!P:P,MATCH(C260,'Fee Calc'!F:F,0)),0)</f>
        <v>59629.068820548637</v>
      </c>
      <c r="AO260" s="83">
        <f>IFERROR(INDEX('Fee Calc'!Q:Q,MATCH(C260,'Fee Calc'!F:F,0)),0)</f>
        <v>3660.5582170717494</v>
      </c>
      <c r="AP260" s="83">
        <f t="shared" si="77"/>
        <v>63289.627037620383</v>
      </c>
      <c r="AQ260" s="70">
        <f t="shared" si="78"/>
        <v>27026.696013129109</v>
      </c>
      <c r="AR260" s="70">
        <f t="shared" si="79"/>
        <v>13513.348006564554</v>
      </c>
      <c r="AS260" s="70">
        <f t="shared" si="80"/>
        <v>13513.348006564554</v>
      </c>
    </row>
    <row r="261" spans="1:45">
      <c r="A261" s="104" t="s">
        <v>813</v>
      </c>
      <c r="B261" s="124" t="s">
        <v>813</v>
      </c>
      <c r="C261" s="31" t="s">
        <v>814</v>
      </c>
      <c r="D261" s="125" t="s">
        <v>814</v>
      </c>
      <c r="E261" s="119" t="s">
        <v>2339</v>
      </c>
      <c r="F261" s="100" t="s">
        <v>2291</v>
      </c>
      <c r="G261" s="100" t="s">
        <v>1526</v>
      </c>
      <c r="H261" s="43" t="str">
        <f t="shared" ref="H261:H324" si="81">CONCATENATE(F261," ",G261)</f>
        <v>Rural Lubbock</v>
      </c>
      <c r="I261" s="45">
        <f>INDEX('Fee Calc'!M:M,MATCH(C:C,'Fee Calc'!F:F,0))</f>
        <v>18456.89490715447</v>
      </c>
      <c r="J261" s="45">
        <f>INDEX('Fee Calc'!L:L,MATCH(C:C,'Fee Calc'!F:F,0))</f>
        <v>289688.45195124106</v>
      </c>
      <c r="K261" s="45">
        <f t="shared" ref="K261:K324" si="82">I261+J261</f>
        <v>308145.34685839555</v>
      </c>
      <c r="L261" s="45">
        <v>17747.71</v>
      </c>
      <c r="M261" s="45">
        <v>44728.5</v>
      </c>
      <c r="N261" s="45">
        <f t="shared" ref="N261:N324" si="83">+L261+M261</f>
        <v>62476.21</v>
      </c>
      <c r="O261" s="45">
        <v>4788.0588949385219</v>
      </c>
      <c r="P261" s="45">
        <v>64398.208981007047</v>
      </c>
      <c r="Q261" s="45">
        <f t="shared" ref="Q261:Q324" si="84">O261+P261</f>
        <v>69186.267875945574</v>
      </c>
      <c r="R261" s="45" t="str">
        <f t="shared" ref="R261:S324" si="85">IF(O261&gt;0,"Yes","No")</f>
        <v>Yes</v>
      </c>
      <c r="S261" s="46" t="str">
        <f t="shared" si="85"/>
        <v>Yes</v>
      </c>
      <c r="T261" s="47">
        <f>ROUND(INDEX(Summary!H:H,MATCH(H:H,Summary!A:A,0)),2)</f>
        <v>0.49</v>
      </c>
      <c r="U261" s="47">
        <f>ROUND(INDEX(Summary!I:I,MATCH(H:H,Summary!A:A,0)),2)</f>
        <v>0.18</v>
      </c>
      <c r="V261" s="81">
        <f t="shared" ref="V261:W324" si="86">+T261*I261</f>
        <v>9043.8785045056902</v>
      </c>
      <c r="W261" s="81">
        <f t="shared" si="86"/>
        <v>52143.921351223391</v>
      </c>
      <c r="X261" s="45">
        <f t="shared" ref="X261:X324" si="87">+V261+W261</f>
        <v>61187.799855729085</v>
      </c>
      <c r="Y261" s="45" t="s">
        <v>2752</v>
      </c>
      <c r="Z261" s="45" t="str">
        <f t="shared" ref="Z261:AA324" si="88">IF(AJ261&gt;0,"Yes","No")</f>
        <v>No</v>
      </c>
      <c r="AA261" s="45" t="str">
        <f t="shared" si="88"/>
        <v>Yes</v>
      </c>
      <c r="AB261" s="45" t="str">
        <f t="shared" ref="AB261:AB324" si="89">IF(AG261&gt;0,"Yes","No")</f>
        <v>Yes</v>
      </c>
      <c r="AC261" s="82">
        <f t="shared" ref="AC261:AD324" si="90">IFERROR(ROUND(IF(I261&gt;0,IF(O261&gt;0,$R$4*MAX(O261-V261,0),0),0)/I261,2),0)</f>
        <v>0</v>
      </c>
      <c r="AD261" s="82">
        <f t="shared" si="90"/>
        <v>0.03</v>
      </c>
      <c r="AE261" s="45">
        <f t="shared" ref="AE261:AF324" si="91">AC261*I261</f>
        <v>0</v>
      </c>
      <c r="AF261" s="45">
        <f t="shared" si="91"/>
        <v>8690.6535585372312</v>
      </c>
      <c r="AG261" s="45">
        <f t="shared" ref="AG261:AG324" si="92">AE261+AF261</f>
        <v>8690.6535585372312</v>
      </c>
      <c r="AH261" s="47">
        <f>IFERROR(ROUNDDOWN(INDEX('90% of ACR'!K:K,MATCH(H:H,'90% of ACR'!A:A,0))*IF(I261&gt;0,IF(O261&gt;0,$R$4*MAX(O261-V261,0),0),0)/I261,2),0)</f>
        <v>0</v>
      </c>
      <c r="AI261" s="82">
        <f>IFERROR(ROUNDDOWN(INDEX('90% of ACR'!R:R,MATCH(H:H,'90% of ACR'!A:A,0))*IF(J261&gt;0,IF(P261&gt;0,$R$4*MAX(P261-W261,0),0),0)/J261,2),0)</f>
        <v>0.02</v>
      </c>
      <c r="AJ261" s="45">
        <f t="shared" ref="AJ261:AK324" si="93">I261*AH261</f>
        <v>0</v>
      </c>
      <c r="AK261" s="45">
        <f t="shared" si="93"/>
        <v>5793.7690390248217</v>
      </c>
      <c r="AL261" s="47">
        <f t="shared" ref="AL261:AM324" si="94">T261+AH261</f>
        <v>0.49</v>
      </c>
      <c r="AM261" s="47">
        <f t="shared" si="94"/>
        <v>0.19999999999999998</v>
      </c>
      <c r="AN261" s="83">
        <f>IFERROR(INDEX('Fee Calc'!P:P,MATCH(C261,'Fee Calc'!F:F,0)),0)</f>
        <v>66981.568894753902</v>
      </c>
      <c r="AO261" s="83">
        <f>IFERROR(INDEX('Fee Calc'!Q:Q,MATCH(C261,'Fee Calc'!F:F,0)),0)</f>
        <v>4142.8492831051317</v>
      </c>
      <c r="AP261" s="83">
        <f t="shared" ref="AP261:AP324" si="95">AN261+AO261</f>
        <v>71124.418177859028</v>
      </c>
      <c r="AQ261" s="70">
        <f t="shared" ref="AQ261:AQ324" si="96">$AQ$3*AP261*1.08</f>
        <v>30372.402543327495</v>
      </c>
      <c r="AR261" s="70">
        <f t="shared" ref="AR261:AR324" si="97">AQ261*0.5</f>
        <v>15186.201271663747</v>
      </c>
      <c r="AS261" s="70">
        <f t="shared" ref="AS261:AS324" si="98">AR261</f>
        <v>15186.201271663747</v>
      </c>
    </row>
    <row r="262" spans="1:45" ht="25.5">
      <c r="A262" s="104" t="s">
        <v>2303</v>
      </c>
      <c r="B262" s="124" t="s">
        <v>2303</v>
      </c>
      <c r="C262" s="31" t="s">
        <v>2304</v>
      </c>
      <c r="D262" s="125" t="s">
        <v>2304</v>
      </c>
      <c r="E262" s="119" t="s">
        <v>2686</v>
      </c>
      <c r="F262" s="100" t="s">
        <v>2950</v>
      </c>
      <c r="G262" s="100" t="s">
        <v>227</v>
      </c>
      <c r="H262" s="43" t="str">
        <f t="shared" si="81"/>
        <v>State-owned IMD MRSA West</v>
      </c>
      <c r="I262" s="45">
        <f>INDEX('Fee Calc'!M:M,MATCH(C:C,'Fee Calc'!F:F,0))</f>
        <v>0</v>
      </c>
      <c r="J262" s="45">
        <f>INDEX('Fee Calc'!L:L,MATCH(C:C,'Fee Calc'!F:F,0))</f>
        <v>0</v>
      </c>
      <c r="K262" s="45">
        <f t="shared" si="82"/>
        <v>0</v>
      </c>
      <c r="L262" s="45">
        <v>0</v>
      </c>
      <c r="M262" s="45">
        <v>0</v>
      </c>
      <c r="N262" s="45">
        <f t="shared" si="83"/>
        <v>0</v>
      </c>
      <c r="O262" s="45">
        <v>0</v>
      </c>
      <c r="P262" s="45">
        <v>0</v>
      </c>
      <c r="Q262" s="45">
        <f t="shared" si="84"/>
        <v>0</v>
      </c>
      <c r="R262" s="45" t="str">
        <f t="shared" si="85"/>
        <v>No</v>
      </c>
      <c r="S262" s="46" t="str">
        <f t="shared" si="85"/>
        <v>No</v>
      </c>
      <c r="T262" s="47">
        <f>ROUND(INDEX(Summary!H:H,MATCH(H:H,Summary!A:A,0)),2)</f>
        <v>0.39</v>
      </c>
      <c r="U262" s="47">
        <f>ROUND(INDEX(Summary!I:I,MATCH(H:H,Summary!A:A,0)),2)</f>
        <v>0</v>
      </c>
      <c r="V262" s="81">
        <f t="shared" si="86"/>
        <v>0</v>
      </c>
      <c r="W262" s="81">
        <f t="shared" si="86"/>
        <v>0</v>
      </c>
      <c r="X262" s="45">
        <f t="shared" si="87"/>
        <v>0</v>
      </c>
      <c r="Y262" s="45" t="s">
        <v>2752</v>
      </c>
      <c r="Z262" s="45" t="str">
        <f t="shared" si="88"/>
        <v>No</v>
      </c>
      <c r="AA262" s="45" t="str">
        <f t="shared" si="88"/>
        <v>No</v>
      </c>
      <c r="AB262" s="45" t="str">
        <f t="shared" si="89"/>
        <v>No</v>
      </c>
      <c r="AC262" s="82">
        <f t="shared" si="90"/>
        <v>0</v>
      </c>
      <c r="AD262" s="82">
        <f t="shared" si="90"/>
        <v>0</v>
      </c>
      <c r="AE262" s="45">
        <f t="shared" si="91"/>
        <v>0</v>
      </c>
      <c r="AF262" s="45">
        <f t="shared" si="91"/>
        <v>0</v>
      </c>
      <c r="AG262" s="45">
        <f t="shared" si="92"/>
        <v>0</v>
      </c>
      <c r="AH262" s="47">
        <f>IFERROR(ROUNDDOWN(INDEX('90% of ACR'!K:K,MATCH(H:H,'90% of ACR'!A:A,0))*IF(I262&gt;0,IF(O262&gt;0,$R$4*MAX(O262-V262,0),0),0)/I262,2),0)</f>
        <v>0</v>
      </c>
      <c r="AI262" s="82">
        <f>IFERROR(ROUNDDOWN(INDEX('90% of ACR'!R:R,MATCH(H:H,'90% of ACR'!A:A,0))*IF(J262&gt;0,IF(P262&gt;0,$R$4*MAX(P262-W262,0),0),0)/J262,2),0)</f>
        <v>0</v>
      </c>
      <c r="AJ262" s="45">
        <f t="shared" si="93"/>
        <v>0</v>
      </c>
      <c r="AK262" s="45">
        <f t="shared" si="93"/>
        <v>0</v>
      </c>
      <c r="AL262" s="47">
        <f t="shared" si="94"/>
        <v>0.39</v>
      </c>
      <c r="AM262" s="47">
        <f t="shared" si="94"/>
        <v>0</v>
      </c>
      <c r="AN262" s="83">
        <f>IFERROR(INDEX('Fee Calc'!P:P,MATCH(C262,'Fee Calc'!F:F,0)),0)</f>
        <v>0</v>
      </c>
      <c r="AO262" s="83">
        <f>IFERROR(INDEX('Fee Calc'!Q:Q,MATCH(C262,'Fee Calc'!F:F,0)),0)</f>
        <v>0</v>
      </c>
      <c r="AP262" s="83">
        <f t="shared" si="95"/>
        <v>0</v>
      </c>
      <c r="AQ262" s="70">
        <f t="shared" si="96"/>
        <v>0</v>
      </c>
      <c r="AR262" s="70">
        <f t="shared" si="97"/>
        <v>0</v>
      </c>
      <c r="AS262" s="70">
        <f t="shared" si="98"/>
        <v>0</v>
      </c>
    </row>
    <row r="263" spans="1:45" ht="25.5">
      <c r="A263" s="104" t="s">
        <v>2314</v>
      </c>
      <c r="B263" s="124" t="s">
        <v>2314</v>
      </c>
      <c r="C263" s="31" t="s">
        <v>2315</v>
      </c>
      <c r="D263" s="125" t="s">
        <v>2315</v>
      </c>
      <c r="E263" s="119" t="s">
        <v>2697</v>
      </c>
      <c r="F263" s="100" t="s">
        <v>2950</v>
      </c>
      <c r="G263" s="100" t="s">
        <v>1189</v>
      </c>
      <c r="H263" s="43" t="str">
        <f t="shared" si="81"/>
        <v>State-owned IMD El Paso</v>
      </c>
      <c r="I263" s="45">
        <f>INDEX('Fee Calc'!M:M,MATCH(C:C,'Fee Calc'!F:F,0))</f>
        <v>282075.11969408276</v>
      </c>
      <c r="J263" s="45">
        <f>INDEX('Fee Calc'!L:L,MATCH(C:C,'Fee Calc'!F:F,0))</f>
        <v>0</v>
      </c>
      <c r="K263" s="45">
        <f t="shared" si="82"/>
        <v>282075.11969408276</v>
      </c>
      <c r="L263" s="45">
        <v>53210.38</v>
      </c>
      <c r="M263" s="45">
        <v>0</v>
      </c>
      <c r="N263" s="45">
        <f t="shared" si="83"/>
        <v>53210.38</v>
      </c>
      <c r="O263" s="45">
        <v>-108877.43439464344</v>
      </c>
      <c r="P263" s="45">
        <v>0</v>
      </c>
      <c r="Q263" s="45">
        <f t="shared" si="84"/>
        <v>-108877.43439464344</v>
      </c>
      <c r="R263" s="45" t="str">
        <f t="shared" si="85"/>
        <v>No</v>
      </c>
      <c r="S263" s="46" t="str">
        <f t="shared" si="85"/>
        <v>No</v>
      </c>
      <c r="T263" s="47">
        <f>ROUND(INDEX(Summary!H:H,MATCH(H:H,Summary!A:A,0)),2)</f>
        <v>0.19</v>
      </c>
      <c r="U263" s="47">
        <f>ROUND(INDEX(Summary!I:I,MATCH(H:H,Summary!A:A,0)),2)</f>
        <v>0</v>
      </c>
      <c r="V263" s="81">
        <f t="shared" si="86"/>
        <v>53594.272741875728</v>
      </c>
      <c r="W263" s="81">
        <f t="shared" si="86"/>
        <v>0</v>
      </c>
      <c r="X263" s="45">
        <f t="shared" si="87"/>
        <v>53594.272741875728</v>
      </c>
      <c r="Y263" s="45" t="s">
        <v>2752</v>
      </c>
      <c r="Z263" s="45" t="str">
        <f t="shared" si="88"/>
        <v>No</v>
      </c>
      <c r="AA263" s="45" t="str">
        <f t="shared" si="88"/>
        <v>No</v>
      </c>
      <c r="AB263" s="45" t="str">
        <f t="shared" si="89"/>
        <v>No</v>
      </c>
      <c r="AC263" s="82">
        <f t="shared" si="90"/>
        <v>0</v>
      </c>
      <c r="AD263" s="82">
        <f t="shared" si="90"/>
        <v>0</v>
      </c>
      <c r="AE263" s="45">
        <f t="shared" si="91"/>
        <v>0</v>
      </c>
      <c r="AF263" s="45">
        <f t="shared" si="91"/>
        <v>0</v>
      </c>
      <c r="AG263" s="45">
        <f t="shared" si="92"/>
        <v>0</v>
      </c>
      <c r="AH263" s="47">
        <f>IFERROR(ROUNDDOWN(INDEX('90% of ACR'!K:K,MATCH(H:H,'90% of ACR'!A:A,0))*IF(I263&gt;0,IF(O263&gt;0,$R$4*MAX(O263-V263,0),0),0)/I263,2),0)</f>
        <v>0</v>
      </c>
      <c r="AI263" s="82">
        <f>IFERROR(ROUNDDOWN(INDEX('90% of ACR'!R:R,MATCH(H:H,'90% of ACR'!A:A,0))*IF(J263&gt;0,IF(P263&gt;0,$R$4*MAX(P263-W263,0),0),0)/J263,2),0)</f>
        <v>0</v>
      </c>
      <c r="AJ263" s="45">
        <f t="shared" si="93"/>
        <v>0</v>
      </c>
      <c r="AK263" s="45">
        <f t="shared" si="93"/>
        <v>0</v>
      </c>
      <c r="AL263" s="47">
        <f t="shared" si="94"/>
        <v>0.19</v>
      </c>
      <c r="AM263" s="47">
        <f t="shared" si="94"/>
        <v>0</v>
      </c>
      <c r="AN263" s="83">
        <f>IFERROR(INDEX('Fee Calc'!P:P,MATCH(C263,'Fee Calc'!F:F,0)),0)</f>
        <v>53594.272741875728</v>
      </c>
      <c r="AO263" s="83">
        <f>IFERROR(INDEX('Fee Calc'!Q:Q,MATCH(C263,'Fee Calc'!F:F,0)),0)</f>
        <v>3269.6771168783603</v>
      </c>
      <c r="AP263" s="83">
        <f t="shared" si="95"/>
        <v>56863.949858754087</v>
      </c>
      <c r="AQ263" s="70">
        <f t="shared" si="96"/>
        <v>24282.726236083476</v>
      </c>
      <c r="AR263" s="70">
        <f t="shared" si="97"/>
        <v>12141.363118041738</v>
      </c>
      <c r="AS263" s="70">
        <f t="shared" si="98"/>
        <v>12141.363118041738</v>
      </c>
    </row>
    <row r="264" spans="1:45" ht="25.5">
      <c r="A264" s="104" t="s">
        <v>1333</v>
      </c>
      <c r="B264" s="124" t="s">
        <v>1333</v>
      </c>
      <c r="C264" s="31" t="s">
        <v>1334</v>
      </c>
      <c r="D264" s="125" t="s">
        <v>1334</v>
      </c>
      <c r="E264" s="119" t="s">
        <v>2876</v>
      </c>
      <c r="F264" s="100" t="s">
        <v>2529</v>
      </c>
      <c r="G264" s="100" t="s">
        <v>300</v>
      </c>
      <c r="H264" s="43" t="str">
        <f t="shared" si="81"/>
        <v>Non-state-owned IMD Harris</v>
      </c>
      <c r="I264" s="45">
        <f>INDEX('Fee Calc'!M:M,MATCH(C:C,'Fee Calc'!F:F,0))</f>
        <v>3755877.1412287853</v>
      </c>
      <c r="J264" s="45">
        <f>INDEX('Fee Calc'!L:L,MATCH(C:C,'Fee Calc'!F:F,0))</f>
        <v>0</v>
      </c>
      <c r="K264" s="45">
        <f t="shared" si="82"/>
        <v>3755877.1412287853</v>
      </c>
      <c r="L264" s="45">
        <v>1317873.92</v>
      </c>
      <c r="M264" s="45">
        <v>0</v>
      </c>
      <c r="N264" s="45">
        <f t="shared" si="83"/>
        <v>1317873.92</v>
      </c>
      <c r="O264" s="45">
        <v>1267093.5338991228</v>
      </c>
      <c r="P264" s="45">
        <v>0</v>
      </c>
      <c r="Q264" s="45">
        <f t="shared" si="84"/>
        <v>1267093.5338991228</v>
      </c>
      <c r="R264" s="45" t="str">
        <f t="shared" si="85"/>
        <v>Yes</v>
      </c>
      <c r="S264" s="46" t="str">
        <f t="shared" si="85"/>
        <v>No</v>
      </c>
      <c r="T264" s="47">
        <f>ROUND(INDEX(Summary!H:H,MATCH(H:H,Summary!A:A,0)),2)</f>
        <v>0.24</v>
      </c>
      <c r="U264" s="47">
        <f>ROUND(INDEX(Summary!I:I,MATCH(H:H,Summary!A:A,0)),2)</f>
        <v>0</v>
      </c>
      <c r="V264" s="81">
        <f t="shared" si="86"/>
        <v>901410.51389490848</v>
      </c>
      <c r="W264" s="81">
        <f t="shared" si="86"/>
        <v>0</v>
      </c>
      <c r="X264" s="45">
        <f t="shared" si="87"/>
        <v>901410.51389490848</v>
      </c>
      <c r="Y264" s="45" t="s">
        <v>2753</v>
      </c>
      <c r="Z264" s="45" t="str">
        <f t="shared" si="88"/>
        <v>No</v>
      </c>
      <c r="AA264" s="45" t="str">
        <f t="shared" si="88"/>
        <v>No</v>
      </c>
      <c r="AB264" s="45" t="str">
        <f t="shared" si="89"/>
        <v>Yes</v>
      </c>
      <c r="AC264" s="82">
        <f t="shared" si="90"/>
        <v>7.0000000000000007E-2</v>
      </c>
      <c r="AD264" s="82">
        <f t="shared" si="90"/>
        <v>0</v>
      </c>
      <c r="AE264" s="45">
        <f t="shared" si="91"/>
        <v>262911.39988601499</v>
      </c>
      <c r="AF264" s="45">
        <f t="shared" si="91"/>
        <v>0</v>
      </c>
      <c r="AG264" s="45">
        <f t="shared" si="92"/>
        <v>262911.39988601499</v>
      </c>
      <c r="AH264" s="47">
        <f>IFERROR(ROUNDDOWN(INDEX('90% of ACR'!K:K,MATCH(H:H,'90% of ACR'!A:A,0))*IF(I264&gt;0,IF(O264&gt;0,$R$4*MAX(O264-V264,0),0),0)/I264,2),0)</f>
        <v>0</v>
      </c>
      <c r="AI264" s="82">
        <f>IFERROR(ROUNDDOWN(INDEX('90% of ACR'!R:R,MATCH(H:H,'90% of ACR'!A:A,0))*IF(J264&gt;0,IF(P264&gt;0,$R$4*MAX(P264-W264,0),0),0)/J264,2),0)</f>
        <v>0</v>
      </c>
      <c r="AJ264" s="45">
        <f t="shared" si="93"/>
        <v>0</v>
      </c>
      <c r="AK264" s="45">
        <f t="shared" si="93"/>
        <v>0</v>
      </c>
      <c r="AL264" s="47">
        <f t="shared" si="94"/>
        <v>0.24</v>
      </c>
      <c r="AM264" s="47">
        <f t="shared" si="94"/>
        <v>0</v>
      </c>
      <c r="AN264" s="83">
        <f>IFERROR(INDEX('Fee Calc'!P:P,MATCH(C264,'Fee Calc'!F:F,0)),0)</f>
        <v>901410.51389490848</v>
      </c>
      <c r="AO264" s="83">
        <f>IFERROR(INDEX('Fee Calc'!Q:Q,MATCH(C264,'Fee Calc'!F:F,0)),0)</f>
        <v>54993.214375551448</v>
      </c>
      <c r="AP264" s="83">
        <f t="shared" si="95"/>
        <v>956403.72827045992</v>
      </c>
      <c r="AQ264" s="70">
        <f t="shared" si="96"/>
        <v>408414.99689079105</v>
      </c>
      <c r="AR264" s="70">
        <f t="shared" si="97"/>
        <v>204207.49844539553</v>
      </c>
      <c r="AS264" s="70">
        <f t="shared" si="98"/>
        <v>204207.49844539553</v>
      </c>
    </row>
    <row r="265" spans="1:45" ht="25.5">
      <c r="A265" s="104" t="s">
        <v>2320</v>
      </c>
      <c r="B265" s="124" t="s">
        <v>2320</v>
      </c>
      <c r="C265" s="31" t="s">
        <v>2321</v>
      </c>
      <c r="D265" s="125" t="s">
        <v>2321</v>
      </c>
      <c r="E265" s="119" t="s">
        <v>2877</v>
      </c>
      <c r="F265" s="100" t="s">
        <v>2950</v>
      </c>
      <c r="G265" s="100" t="s">
        <v>227</v>
      </c>
      <c r="H265" s="43" t="str">
        <f t="shared" si="81"/>
        <v>State-owned IMD MRSA West</v>
      </c>
      <c r="I265" s="45">
        <f>INDEX('Fee Calc'!M:M,MATCH(C:C,'Fee Calc'!F:F,0))</f>
        <v>0</v>
      </c>
      <c r="J265" s="45">
        <f>INDEX('Fee Calc'!L:L,MATCH(C:C,'Fee Calc'!F:F,0))</f>
        <v>0</v>
      </c>
      <c r="K265" s="45">
        <f t="shared" si="82"/>
        <v>0</v>
      </c>
      <c r="L265" s="45">
        <v>0</v>
      </c>
      <c r="M265" s="45">
        <v>0</v>
      </c>
      <c r="N265" s="45">
        <f t="shared" si="83"/>
        <v>0</v>
      </c>
      <c r="O265" s="45">
        <v>0</v>
      </c>
      <c r="P265" s="45">
        <v>0</v>
      </c>
      <c r="Q265" s="45">
        <f t="shared" si="84"/>
        <v>0</v>
      </c>
      <c r="R265" s="45" t="str">
        <f t="shared" si="85"/>
        <v>No</v>
      </c>
      <c r="S265" s="46" t="str">
        <f t="shared" si="85"/>
        <v>No</v>
      </c>
      <c r="T265" s="47">
        <f>ROUND(INDEX(Summary!H:H,MATCH(H:H,Summary!A:A,0)),2)</f>
        <v>0.39</v>
      </c>
      <c r="U265" s="47">
        <f>ROUND(INDEX(Summary!I:I,MATCH(H:H,Summary!A:A,0)),2)</f>
        <v>0</v>
      </c>
      <c r="V265" s="81">
        <f t="shared" si="86"/>
        <v>0</v>
      </c>
      <c r="W265" s="81">
        <f t="shared" si="86"/>
        <v>0</v>
      </c>
      <c r="X265" s="45">
        <f t="shared" si="87"/>
        <v>0</v>
      </c>
      <c r="Y265" s="45" t="s">
        <v>2752</v>
      </c>
      <c r="Z265" s="45" t="str">
        <f t="shared" si="88"/>
        <v>No</v>
      </c>
      <c r="AA265" s="45" t="str">
        <f t="shared" si="88"/>
        <v>No</v>
      </c>
      <c r="AB265" s="45" t="str">
        <f t="shared" si="89"/>
        <v>No</v>
      </c>
      <c r="AC265" s="82">
        <f t="shared" si="90"/>
        <v>0</v>
      </c>
      <c r="AD265" s="82">
        <f t="shared" si="90"/>
        <v>0</v>
      </c>
      <c r="AE265" s="45">
        <f t="shared" si="91"/>
        <v>0</v>
      </c>
      <c r="AF265" s="45">
        <f t="shared" si="91"/>
        <v>0</v>
      </c>
      <c r="AG265" s="45">
        <f t="shared" si="92"/>
        <v>0</v>
      </c>
      <c r="AH265" s="47">
        <f>IFERROR(ROUNDDOWN(INDEX('90% of ACR'!K:K,MATCH(H:H,'90% of ACR'!A:A,0))*IF(I265&gt;0,IF(O265&gt;0,$R$4*MAX(O265-V265,0),0),0)/I265,2),0)</f>
        <v>0</v>
      </c>
      <c r="AI265" s="82">
        <f>IFERROR(ROUNDDOWN(INDEX('90% of ACR'!R:R,MATCH(H:H,'90% of ACR'!A:A,0))*IF(J265&gt;0,IF(P265&gt;0,$R$4*MAX(P265-W265,0),0),0)/J265,2),0)</f>
        <v>0</v>
      </c>
      <c r="AJ265" s="45">
        <f t="shared" si="93"/>
        <v>0</v>
      </c>
      <c r="AK265" s="45">
        <f t="shared" si="93"/>
        <v>0</v>
      </c>
      <c r="AL265" s="47">
        <f t="shared" si="94"/>
        <v>0.39</v>
      </c>
      <c r="AM265" s="47">
        <f t="shared" si="94"/>
        <v>0</v>
      </c>
      <c r="AN265" s="83">
        <f>IFERROR(INDEX('Fee Calc'!P:P,MATCH(C265,'Fee Calc'!F:F,0)),0)</f>
        <v>0</v>
      </c>
      <c r="AO265" s="83">
        <f>IFERROR(INDEX('Fee Calc'!Q:Q,MATCH(C265,'Fee Calc'!F:F,0)),0)</f>
        <v>0</v>
      </c>
      <c r="AP265" s="83">
        <f t="shared" si="95"/>
        <v>0</v>
      </c>
      <c r="AQ265" s="70">
        <f t="shared" si="96"/>
        <v>0</v>
      </c>
      <c r="AR265" s="70">
        <f t="shared" si="97"/>
        <v>0</v>
      </c>
      <c r="AS265" s="70">
        <f t="shared" si="98"/>
        <v>0</v>
      </c>
    </row>
    <row r="266" spans="1:45" ht="25.5">
      <c r="A266" s="104" t="s">
        <v>2305</v>
      </c>
      <c r="B266" s="124" t="s">
        <v>2305</v>
      </c>
      <c r="C266" s="31" t="s">
        <v>2306</v>
      </c>
      <c r="D266" s="125" t="s">
        <v>2306</v>
      </c>
      <c r="E266" s="119" t="s">
        <v>2878</v>
      </c>
      <c r="F266" s="100" t="s">
        <v>2950</v>
      </c>
      <c r="G266" s="100" t="s">
        <v>227</v>
      </c>
      <c r="H266" s="43" t="str">
        <f t="shared" si="81"/>
        <v>State-owned IMD MRSA West</v>
      </c>
      <c r="I266" s="45">
        <f>INDEX('Fee Calc'!M:M,MATCH(C:C,'Fee Calc'!F:F,0))</f>
        <v>236249.48514534946</v>
      </c>
      <c r="J266" s="45">
        <f>INDEX('Fee Calc'!L:L,MATCH(C:C,'Fee Calc'!F:F,0))</f>
        <v>0</v>
      </c>
      <c r="K266" s="45">
        <f t="shared" si="82"/>
        <v>236249.48514534946</v>
      </c>
      <c r="L266" s="45">
        <v>160305.69</v>
      </c>
      <c r="M266" s="45">
        <v>0</v>
      </c>
      <c r="N266" s="45">
        <f t="shared" si="83"/>
        <v>160305.69</v>
      </c>
      <c r="O266" s="45">
        <v>-187203.06266327482</v>
      </c>
      <c r="P266" s="45">
        <v>0</v>
      </c>
      <c r="Q266" s="45">
        <f t="shared" si="84"/>
        <v>-187203.06266327482</v>
      </c>
      <c r="R266" s="45" t="str">
        <f t="shared" si="85"/>
        <v>No</v>
      </c>
      <c r="S266" s="46" t="str">
        <f t="shared" si="85"/>
        <v>No</v>
      </c>
      <c r="T266" s="47">
        <f>ROUND(INDEX(Summary!H:H,MATCH(H:H,Summary!A:A,0)),2)</f>
        <v>0.39</v>
      </c>
      <c r="U266" s="47">
        <f>ROUND(INDEX(Summary!I:I,MATCH(H:H,Summary!A:A,0)),2)</f>
        <v>0</v>
      </c>
      <c r="V266" s="81">
        <f t="shared" si="86"/>
        <v>92137.299206686293</v>
      </c>
      <c r="W266" s="81">
        <f t="shared" si="86"/>
        <v>0</v>
      </c>
      <c r="X266" s="45">
        <f t="shared" si="87"/>
        <v>92137.299206686293</v>
      </c>
      <c r="Y266" s="45" t="s">
        <v>2752</v>
      </c>
      <c r="Z266" s="45" t="str">
        <f t="shared" si="88"/>
        <v>No</v>
      </c>
      <c r="AA266" s="45" t="str">
        <f t="shared" si="88"/>
        <v>No</v>
      </c>
      <c r="AB266" s="45" t="str">
        <f t="shared" si="89"/>
        <v>No</v>
      </c>
      <c r="AC266" s="82">
        <f t="shared" si="90"/>
        <v>0</v>
      </c>
      <c r="AD266" s="82">
        <f t="shared" si="90"/>
        <v>0</v>
      </c>
      <c r="AE266" s="45">
        <f t="shared" si="91"/>
        <v>0</v>
      </c>
      <c r="AF266" s="45">
        <f t="shared" si="91"/>
        <v>0</v>
      </c>
      <c r="AG266" s="45">
        <f t="shared" si="92"/>
        <v>0</v>
      </c>
      <c r="AH266" s="47">
        <f>IFERROR(ROUNDDOWN(INDEX('90% of ACR'!K:K,MATCH(H:H,'90% of ACR'!A:A,0))*IF(I266&gt;0,IF(O266&gt;0,$R$4*MAX(O266-V266,0),0),0)/I266,2),0)</f>
        <v>0</v>
      </c>
      <c r="AI266" s="82">
        <f>IFERROR(ROUNDDOWN(INDEX('90% of ACR'!R:R,MATCH(H:H,'90% of ACR'!A:A,0))*IF(J266&gt;0,IF(P266&gt;0,$R$4*MAX(P266-W266,0),0),0)/J266,2),0)</f>
        <v>0</v>
      </c>
      <c r="AJ266" s="45">
        <f t="shared" si="93"/>
        <v>0</v>
      </c>
      <c r="AK266" s="45">
        <f t="shared" si="93"/>
        <v>0</v>
      </c>
      <c r="AL266" s="47">
        <f t="shared" si="94"/>
        <v>0.39</v>
      </c>
      <c r="AM266" s="47">
        <f t="shared" si="94"/>
        <v>0</v>
      </c>
      <c r="AN266" s="83">
        <f>IFERROR(INDEX('Fee Calc'!P:P,MATCH(C266,'Fee Calc'!F:F,0)),0)</f>
        <v>92137.299206686293</v>
      </c>
      <c r="AO266" s="83">
        <f>IFERROR(INDEX('Fee Calc'!Q:Q,MATCH(C266,'Fee Calc'!F:F,0)),0)</f>
        <v>5621.1084396652122</v>
      </c>
      <c r="AP266" s="83">
        <f t="shared" si="95"/>
        <v>97758.407646351508</v>
      </c>
      <c r="AQ266" s="70">
        <f t="shared" si="96"/>
        <v>41745.968334036777</v>
      </c>
      <c r="AR266" s="70">
        <f t="shared" si="97"/>
        <v>20872.984167018389</v>
      </c>
      <c r="AS266" s="70">
        <f t="shared" si="98"/>
        <v>20872.984167018389</v>
      </c>
    </row>
    <row r="267" spans="1:45" ht="25.5">
      <c r="A267" s="104" t="s">
        <v>2307</v>
      </c>
      <c r="B267" s="124" t="s">
        <v>2307</v>
      </c>
      <c r="C267" s="31" t="s">
        <v>2308</v>
      </c>
      <c r="D267" s="125" t="s">
        <v>2308</v>
      </c>
      <c r="E267" s="119" t="s">
        <v>2879</v>
      </c>
      <c r="F267" s="100" t="s">
        <v>2950</v>
      </c>
      <c r="G267" s="100" t="s">
        <v>227</v>
      </c>
      <c r="H267" s="43" t="str">
        <f t="shared" si="81"/>
        <v>State-owned IMD MRSA West</v>
      </c>
      <c r="I267" s="45">
        <f>INDEX('Fee Calc'!M:M,MATCH(C:C,'Fee Calc'!F:F,0))</f>
        <v>878949.86726895475</v>
      </c>
      <c r="J267" s="45">
        <f>INDEX('Fee Calc'!L:L,MATCH(C:C,'Fee Calc'!F:F,0))</f>
        <v>0</v>
      </c>
      <c r="K267" s="45">
        <f t="shared" si="82"/>
        <v>878949.86726895475</v>
      </c>
      <c r="L267" s="45">
        <v>271972.08</v>
      </c>
      <c r="M267" s="45">
        <v>0</v>
      </c>
      <c r="N267" s="45">
        <f t="shared" si="83"/>
        <v>271972.08</v>
      </c>
      <c r="O267" s="45">
        <v>-949254.79000000015</v>
      </c>
      <c r="P267" s="45">
        <v>0</v>
      </c>
      <c r="Q267" s="45">
        <f t="shared" si="84"/>
        <v>-949254.79000000015</v>
      </c>
      <c r="R267" s="45" t="str">
        <f t="shared" si="85"/>
        <v>No</v>
      </c>
      <c r="S267" s="46" t="str">
        <f t="shared" si="85"/>
        <v>No</v>
      </c>
      <c r="T267" s="47">
        <f>ROUND(INDEX(Summary!H:H,MATCH(H:H,Summary!A:A,0)),2)</f>
        <v>0.39</v>
      </c>
      <c r="U267" s="47">
        <f>ROUND(INDEX(Summary!I:I,MATCH(H:H,Summary!A:A,0)),2)</f>
        <v>0</v>
      </c>
      <c r="V267" s="81">
        <f t="shared" si="86"/>
        <v>342790.44823489239</v>
      </c>
      <c r="W267" s="81">
        <f t="shared" si="86"/>
        <v>0</v>
      </c>
      <c r="X267" s="45">
        <f t="shared" si="87"/>
        <v>342790.44823489239</v>
      </c>
      <c r="Y267" s="45" t="s">
        <v>2752</v>
      </c>
      <c r="Z267" s="45" t="str">
        <f t="shared" si="88"/>
        <v>No</v>
      </c>
      <c r="AA267" s="45" t="str">
        <f t="shared" si="88"/>
        <v>No</v>
      </c>
      <c r="AB267" s="45" t="str">
        <f t="shared" si="89"/>
        <v>No</v>
      </c>
      <c r="AC267" s="82">
        <f t="shared" si="90"/>
        <v>0</v>
      </c>
      <c r="AD267" s="82">
        <f t="shared" si="90"/>
        <v>0</v>
      </c>
      <c r="AE267" s="45">
        <f t="shared" si="91"/>
        <v>0</v>
      </c>
      <c r="AF267" s="45">
        <f t="shared" si="91"/>
        <v>0</v>
      </c>
      <c r="AG267" s="45">
        <f t="shared" si="92"/>
        <v>0</v>
      </c>
      <c r="AH267" s="47">
        <f>IFERROR(ROUNDDOWN(INDEX('90% of ACR'!K:K,MATCH(H:H,'90% of ACR'!A:A,0))*IF(I267&gt;0,IF(O267&gt;0,$R$4*MAX(O267-V267,0),0),0)/I267,2),0)</f>
        <v>0</v>
      </c>
      <c r="AI267" s="82">
        <f>IFERROR(ROUNDDOWN(INDEX('90% of ACR'!R:R,MATCH(H:H,'90% of ACR'!A:A,0))*IF(J267&gt;0,IF(P267&gt;0,$R$4*MAX(P267-W267,0),0),0)/J267,2),0)</f>
        <v>0</v>
      </c>
      <c r="AJ267" s="45">
        <f t="shared" si="93"/>
        <v>0</v>
      </c>
      <c r="AK267" s="45">
        <f t="shared" si="93"/>
        <v>0</v>
      </c>
      <c r="AL267" s="47">
        <f t="shared" si="94"/>
        <v>0.39</v>
      </c>
      <c r="AM267" s="47">
        <f t="shared" si="94"/>
        <v>0</v>
      </c>
      <c r="AN267" s="83">
        <f>IFERROR(INDEX('Fee Calc'!P:P,MATCH(C267,'Fee Calc'!F:F,0)),0)</f>
        <v>342790.44823489239</v>
      </c>
      <c r="AO267" s="83">
        <f>IFERROR(INDEX('Fee Calc'!Q:Q,MATCH(C267,'Fee Calc'!F:F,0)),0)</f>
        <v>20912.945117778581</v>
      </c>
      <c r="AP267" s="83">
        <f t="shared" si="95"/>
        <v>363703.39335267094</v>
      </c>
      <c r="AQ267" s="70">
        <f t="shared" si="96"/>
        <v>155312.98747017779</v>
      </c>
      <c r="AR267" s="70">
        <f t="shared" si="97"/>
        <v>77656.493735088894</v>
      </c>
      <c r="AS267" s="70">
        <f t="shared" si="98"/>
        <v>77656.493735088894</v>
      </c>
    </row>
    <row r="268" spans="1:45" ht="25.5">
      <c r="A268" s="104" t="s">
        <v>2056</v>
      </c>
      <c r="B268" s="124" t="s">
        <v>2056</v>
      </c>
      <c r="C268" s="31" t="s">
        <v>2309</v>
      </c>
      <c r="D268" s="125" t="s">
        <v>2309</v>
      </c>
      <c r="E268" s="119" t="s">
        <v>2880</v>
      </c>
      <c r="F268" s="100" t="s">
        <v>2950</v>
      </c>
      <c r="G268" s="100" t="s">
        <v>1514</v>
      </c>
      <c r="H268" s="43" t="str">
        <f t="shared" si="81"/>
        <v>State-owned IMD Hidalgo</v>
      </c>
      <c r="I268" s="45">
        <f>INDEX('Fee Calc'!M:M,MATCH(C:C,'Fee Calc'!F:F,0))</f>
        <v>5273.7962239365661</v>
      </c>
      <c r="J268" s="45">
        <f>INDEX('Fee Calc'!L:L,MATCH(C:C,'Fee Calc'!F:F,0))</f>
        <v>0</v>
      </c>
      <c r="K268" s="45">
        <f t="shared" si="82"/>
        <v>5273.7962239365661</v>
      </c>
      <c r="L268" s="45">
        <v>1361.6</v>
      </c>
      <c r="M268" s="45">
        <v>0</v>
      </c>
      <c r="N268" s="45">
        <f t="shared" si="83"/>
        <v>1361.6</v>
      </c>
      <c r="O268" s="45">
        <v>-630.53779925051867</v>
      </c>
      <c r="P268" s="45">
        <v>0</v>
      </c>
      <c r="Q268" s="45">
        <f t="shared" si="84"/>
        <v>-630.53779925051867</v>
      </c>
      <c r="R268" s="45" t="str">
        <f t="shared" si="85"/>
        <v>No</v>
      </c>
      <c r="S268" s="46" t="str">
        <f t="shared" si="85"/>
        <v>No</v>
      </c>
      <c r="T268" s="47">
        <f>ROUND(INDEX(Summary!H:H,MATCH(H:H,Summary!A:A,0)),2)</f>
        <v>0.26</v>
      </c>
      <c r="U268" s="47">
        <f>ROUND(INDEX(Summary!I:I,MATCH(H:H,Summary!A:A,0)),2)</f>
        <v>0</v>
      </c>
      <c r="V268" s="81">
        <f t="shared" si="86"/>
        <v>1371.1870182235073</v>
      </c>
      <c r="W268" s="81">
        <f t="shared" si="86"/>
        <v>0</v>
      </c>
      <c r="X268" s="45">
        <f t="shared" si="87"/>
        <v>1371.1870182235073</v>
      </c>
      <c r="Y268" s="45" t="s">
        <v>2752</v>
      </c>
      <c r="Z268" s="45" t="str">
        <f t="shared" si="88"/>
        <v>No</v>
      </c>
      <c r="AA268" s="45" t="str">
        <f t="shared" si="88"/>
        <v>No</v>
      </c>
      <c r="AB268" s="45" t="str">
        <f t="shared" si="89"/>
        <v>No</v>
      </c>
      <c r="AC268" s="82">
        <f t="shared" si="90"/>
        <v>0</v>
      </c>
      <c r="AD268" s="82">
        <f t="shared" si="90"/>
        <v>0</v>
      </c>
      <c r="AE268" s="45">
        <f t="shared" si="91"/>
        <v>0</v>
      </c>
      <c r="AF268" s="45">
        <f t="shared" si="91"/>
        <v>0</v>
      </c>
      <c r="AG268" s="45">
        <f t="shared" si="92"/>
        <v>0</v>
      </c>
      <c r="AH268" s="47">
        <f>IFERROR(ROUNDDOWN(INDEX('90% of ACR'!K:K,MATCH(H:H,'90% of ACR'!A:A,0))*IF(I268&gt;0,IF(O268&gt;0,$R$4*MAX(O268-V268,0),0),0)/I268,2),0)</f>
        <v>0</v>
      </c>
      <c r="AI268" s="82">
        <f>IFERROR(ROUNDDOWN(INDEX('90% of ACR'!R:R,MATCH(H:H,'90% of ACR'!A:A,0))*IF(J268&gt;0,IF(P268&gt;0,$R$4*MAX(P268-W268,0),0),0)/J268,2),0)</f>
        <v>0</v>
      </c>
      <c r="AJ268" s="45">
        <f t="shared" si="93"/>
        <v>0</v>
      </c>
      <c r="AK268" s="45">
        <f t="shared" si="93"/>
        <v>0</v>
      </c>
      <c r="AL268" s="47">
        <f t="shared" si="94"/>
        <v>0.26</v>
      </c>
      <c r="AM268" s="47">
        <f t="shared" si="94"/>
        <v>0</v>
      </c>
      <c r="AN268" s="83">
        <f>IFERROR(INDEX('Fee Calc'!P:P,MATCH(C268,'Fee Calc'!F:F,0)),0)</f>
        <v>1371.1870182235073</v>
      </c>
      <c r="AO268" s="83">
        <f>IFERROR(INDEX('Fee Calc'!Q:Q,MATCH(C268,'Fee Calc'!F:F,0)),0)</f>
        <v>83.653319414166219</v>
      </c>
      <c r="AP268" s="83">
        <f t="shared" si="95"/>
        <v>1454.8403376376734</v>
      </c>
      <c r="AQ268" s="70">
        <f t="shared" si="96"/>
        <v>621.26337906209096</v>
      </c>
      <c r="AR268" s="70">
        <f t="shared" si="97"/>
        <v>310.63168953104548</v>
      </c>
      <c r="AS268" s="70">
        <f t="shared" si="98"/>
        <v>310.63168953104548</v>
      </c>
    </row>
    <row r="269" spans="1:45" ht="25.5">
      <c r="A269" s="104" t="s">
        <v>2310</v>
      </c>
      <c r="B269" s="124" t="s">
        <v>2310</v>
      </c>
      <c r="C269" s="31" t="s">
        <v>2311</v>
      </c>
      <c r="D269" s="125" t="s">
        <v>2311</v>
      </c>
      <c r="E269" s="119" t="s">
        <v>2687</v>
      </c>
      <c r="F269" s="100" t="s">
        <v>2950</v>
      </c>
      <c r="G269" s="100" t="s">
        <v>310</v>
      </c>
      <c r="H269" s="43" t="str">
        <f t="shared" si="81"/>
        <v>State-owned IMD MRSA Northeast</v>
      </c>
      <c r="I269" s="45">
        <f>INDEX('Fee Calc'!M:M,MATCH(C:C,'Fee Calc'!F:F,0))</f>
        <v>0</v>
      </c>
      <c r="J269" s="45">
        <f>INDEX('Fee Calc'!L:L,MATCH(C:C,'Fee Calc'!F:F,0))</f>
        <v>0</v>
      </c>
      <c r="K269" s="45">
        <f t="shared" si="82"/>
        <v>0</v>
      </c>
      <c r="L269" s="45">
        <v>0</v>
      </c>
      <c r="M269" s="45">
        <v>0</v>
      </c>
      <c r="N269" s="45">
        <f t="shared" si="83"/>
        <v>0</v>
      </c>
      <c r="O269" s="45">
        <v>0</v>
      </c>
      <c r="P269" s="45">
        <v>0</v>
      </c>
      <c r="Q269" s="45">
        <f t="shared" si="84"/>
        <v>0</v>
      </c>
      <c r="R269" s="45" t="str">
        <f t="shared" si="85"/>
        <v>No</v>
      </c>
      <c r="S269" s="46" t="str">
        <f t="shared" si="85"/>
        <v>No</v>
      </c>
      <c r="T269" s="47">
        <f>ROUND(INDEX(Summary!H:H,MATCH(H:H,Summary!A:A,0)),2)</f>
        <v>0</v>
      </c>
      <c r="U269" s="47">
        <f>ROUND(INDEX(Summary!I:I,MATCH(H:H,Summary!A:A,0)),2)</f>
        <v>0</v>
      </c>
      <c r="V269" s="81">
        <f t="shared" si="86"/>
        <v>0</v>
      </c>
      <c r="W269" s="81">
        <f t="shared" si="86"/>
        <v>0</v>
      </c>
      <c r="X269" s="45">
        <f t="shared" si="87"/>
        <v>0</v>
      </c>
      <c r="Y269" s="45" t="s">
        <v>2752</v>
      </c>
      <c r="Z269" s="45" t="str">
        <f t="shared" si="88"/>
        <v>No</v>
      </c>
      <c r="AA269" s="45" t="str">
        <f t="shared" si="88"/>
        <v>No</v>
      </c>
      <c r="AB269" s="45" t="str">
        <f t="shared" si="89"/>
        <v>No</v>
      </c>
      <c r="AC269" s="82">
        <f t="shared" si="90"/>
        <v>0</v>
      </c>
      <c r="AD269" s="82">
        <f t="shared" si="90"/>
        <v>0</v>
      </c>
      <c r="AE269" s="45">
        <f t="shared" si="91"/>
        <v>0</v>
      </c>
      <c r="AF269" s="45">
        <f t="shared" si="91"/>
        <v>0</v>
      </c>
      <c r="AG269" s="45">
        <f t="shared" si="92"/>
        <v>0</v>
      </c>
      <c r="AH269" s="47">
        <f>IFERROR(ROUNDDOWN(INDEX('90% of ACR'!K:K,MATCH(H:H,'90% of ACR'!A:A,0))*IF(I269&gt;0,IF(O269&gt;0,$R$4*MAX(O269-V269,0),0),0)/I269,2),0)</f>
        <v>0</v>
      </c>
      <c r="AI269" s="82">
        <f>IFERROR(ROUNDDOWN(INDEX('90% of ACR'!R:R,MATCH(H:H,'90% of ACR'!A:A,0))*IF(J269&gt;0,IF(P269&gt;0,$R$4*MAX(P269-W269,0),0),0)/J269,2),0)</f>
        <v>0</v>
      </c>
      <c r="AJ269" s="45">
        <f t="shared" si="93"/>
        <v>0</v>
      </c>
      <c r="AK269" s="45">
        <f t="shared" si="93"/>
        <v>0</v>
      </c>
      <c r="AL269" s="47">
        <f t="shared" si="94"/>
        <v>0</v>
      </c>
      <c r="AM269" s="47">
        <f t="shared" si="94"/>
        <v>0</v>
      </c>
      <c r="AN269" s="83">
        <f>IFERROR(INDEX('Fee Calc'!P:P,MATCH(C269,'Fee Calc'!F:F,0)),0)</f>
        <v>0</v>
      </c>
      <c r="AO269" s="83">
        <f>IFERROR(INDEX('Fee Calc'!Q:Q,MATCH(C269,'Fee Calc'!F:F,0)),0)</f>
        <v>0</v>
      </c>
      <c r="AP269" s="83">
        <f t="shared" si="95"/>
        <v>0</v>
      </c>
      <c r="AQ269" s="70">
        <f t="shared" si="96"/>
        <v>0</v>
      </c>
      <c r="AR269" s="70">
        <f t="shared" si="97"/>
        <v>0</v>
      </c>
      <c r="AS269" s="70">
        <f t="shared" si="98"/>
        <v>0</v>
      </c>
    </row>
    <row r="270" spans="1:45" ht="25.5">
      <c r="A270" s="104" t="s">
        <v>2312</v>
      </c>
      <c r="B270" s="124" t="s">
        <v>2312</v>
      </c>
      <c r="C270" s="31" t="s">
        <v>2313</v>
      </c>
      <c r="D270" s="125" t="s">
        <v>2313</v>
      </c>
      <c r="E270" s="119" t="s">
        <v>2700</v>
      </c>
      <c r="F270" s="100" t="s">
        <v>2950</v>
      </c>
      <c r="G270" s="100" t="s">
        <v>487</v>
      </c>
      <c r="H270" s="43" t="str">
        <f t="shared" si="81"/>
        <v>State-owned IMD Bexar</v>
      </c>
      <c r="I270" s="45">
        <f>INDEX('Fee Calc'!M:M,MATCH(C:C,'Fee Calc'!F:F,0))</f>
        <v>129973.04160659014</v>
      </c>
      <c r="J270" s="45">
        <f>INDEX('Fee Calc'!L:L,MATCH(C:C,'Fee Calc'!F:F,0))</f>
        <v>0</v>
      </c>
      <c r="K270" s="45">
        <f t="shared" si="82"/>
        <v>129973.04160659014</v>
      </c>
      <c r="L270" s="45">
        <v>47146.92</v>
      </c>
      <c r="M270" s="45">
        <v>0</v>
      </c>
      <c r="N270" s="45">
        <f t="shared" si="83"/>
        <v>47146.92</v>
      </c>
      <c r="O270" s="45">
        <v>-131210.26110095874</v>
      </c>
      <c r="P270" s="45">
        <v>0</v>
      </c>
      <c r="Q270" s="45">
        <f t="shared" si="84"/>
        <v>-131210.26110095874</v>
      </c>
      <c r="R270" s="45" t="str">
        <f t="shared" si="85"/>
        <v>No</v>
      </c>
      <c r="S270" s="46" t="str">
        <f t="shared" si="85"/>
        <v>No</v>
      </c>
      <c r="T270" s="47">
        <f>ROUND(INDEX(Summary!H:H,MATCH(H:H,Summary!A:A,0)),2)</f>
        <v>0.36</v>
      </c>
      <c r="U270" s="47">
        <f>ROUND(INDEX(Summary!I:I,MATCH(H:H,Summary!A:A,0)),2)</f>
        <v>0</v>
      </c>
      <c r="V270" s="81">
        <f t="shared" si="86"/>
        <v>46790.294978372447</v>
      </c>
      <c r="W270" s="81">
        <f t="shared" si="86"/>
        <v>0</v>
      </c>
      <c r="X270" s="45">
        <f t="shared" si="87"/>
        <v>46790.294978372447</v>
      </c>
      <c r="Y270" s="45" t="s">
        <v>2752</v>
      </c>
      <c r="Z270" s="45" t="str">
        <f t="shared" si="88"/>
        <v>No</v>
      </c>
      <c r="AA270" s="45" t="str">
        <f t="shared" si="88"/>
        <v>No</v>
      </c>
      <c r="AB270" s="45" t="str">
        <f t="shared" si="89"/>
        <v>No</v>
      </c>
      <c r="AC270" s="82">
        <f t="shared" si="90"/>
        <v>0</v>
      </c>
      <c r="AD270" s="82">
        <f t="shared" si="90"/>
        <v>0</v>
      </c>
      <c r="AE270" s="45">
        <f t="shared" si="91"/>
        <v>0</v>
      </c>
      <c r="AF270" s="45">
        <f t="shared" si="91"/>
        <v>0</v>
      </c>
      <c r="AG270" s="45">
        <f t="shared" si="92"/>
        <v>0</v>
      </c>
      <c r="AH270" s="47">
        <f>IFERROR(ROUNDDOWN(INDEX('90% of ACR'!K:K,MATCH(H:H,'90% of ACR'!A:A,0))*IF(I270&gt;0,IF(O270&gt;0,$R$4*MAX(O270-V270,0),0),0)/I270,2),0)</f>
        <v>0</v>
      </c>
      <c r="AI270" s="82">
        <f>IFERROR(ROUNDDOWN(INDEX('90% of ACR'!R:R,MATCH(H:H,'90% of ACR'!A:A,0))*IF(J270&gt;0,IF(P270&gt;0,$R$4*MAX(P270-W270,0),0),0)/J270,2),0)</f>
        <v>0</v>
      </c>
      <c r="AJ270" s="45">
        <f t="shared" si="93"/>
        <v>0</v>
      </c>
      <c r="AK270" s="45">
        <f t="shared" si="93"/>
        <v>0</v>
      </c>
      <c r="AL270" s="47">
        <f t="shared" si="94"/>
        <v>0.36</v>
      </c>
      <c r="AM270" s="47">
        <f t="shared" si="94"/>
        <v>0</v>
      </c>
      <c r="AN270" s="83">
        <f>IFERROR(INDEX('Fee Calc'!P:P,MATCH(C270,'Fee Calc'!F:F,0)),0)</f>
        <v>46790.294978372447</v>
      </c>
      <c r="AO270" s="83">
        <f>IFERROR(INDEX('Fee Calc'!Q:Q,MATCH(C270,'Fee Calc'!F:F,0)),0)</f>
        <v>2854.5803302455338</v>
      </c>
      <c r="AP270" s="83">
        <f t="shared" si="95"/>
        <v>49644.875308617979</v>
      </c>
      <c r="AQ270" s="70">
        <f t="shared" si="96"/>
        <v>21199.950392789753</v>
      </c>
      <c r="AR270" s="70">
        <f t="shared" si="97"/>
        <v>10599.975196394877</v>
      </c>
      <c r="AS270" s="70">
        <f t="shared" si="98"/>
        <v>10599.975196394877</v>
      </c>
    </row>
    <row r="271" spans="1:45" ht="25.5">
      <c r="A271" s="104" t="s">
        <v>2286</v>
      </c>
      <c r="B271" s="124" t="s">
        <v>2286</v>
      </c>
      <c r="C271" s="31" t="s">
        <v>2287</v>
      </c>
      <c r="D271" s="125" t="s">
        <v>2287</v>
      </c>
      <c r="E271" s="119" t="s">
        <v>2881</v>
      </c>
      <c r="F271" s="100" t="s">
        <v>2949</v>
      </c>
      <c r="G271" s="100" t="s">
        <v>487</v>
      </c>
      <c r="H271" s="43" t="str">
        <f t="shared" si="81"/>
        <v>State-owned non-IMD Bexar</v>
      </c>
      <c r="I271" s="45">
        <f>INDEX('Fee Calc'!M:M,MATCH(C:C,'Fee Calc'!F:F,0))</f>
        <v>0</v>
      </c>
      <c r="J271" s="45">
        <f>INDEX('Fee Calc'!L:L,MATCH(C:C,'Fee Calc'!F:F,0))</f>
        <v>0</v>
      </c>
      <c r="K271" s="45">
        <f t="shared" si="82"/>
        <v>0</v>
      </c>
      <c r="L271" s="45">
        <v>192568.44</v>
      </c>
      <c r="M271" s="45">
        <v>0</v>
      </c>
      <c r="N271" s="45">
        <f t="shared" si="83"/>
        <v>192568.44</v>
      </c>
      <c r="O271" s="45">
        <v>-8276.6</v>
      </c>
      <c r="P271" s="45">
        <v>0</v>
      </c>
      <c r="Q271" s="45">
        <f t="shared" si="84"/>
        <v>-8276.6</v>
      </c>
      <c r="R271" s="45" t="str">
        <f t="shared" si="85"/>
        <v>No</v>
      </c>
      <c r="S271" s="46" t="str">
        <f t="shared" si="85"/>
        <v>No</v>
      </c>
      <c r="T271" s="47">
        <f>ROUND(INDEX(Summary!H:H,MATCH(H:H,Summary!A:A,0)),2)</f>
        <v>0</v>
      </c>
      <c r="U271" s="47">
        <f>ROUND(INDEX(Summary!I:I,MATCH(H:H,Summary!A:A,0)),2)</f>
        <v>0</v>
      </c>
      <c r="V271" s="81">
        <f t="shared" si="86"/>
        <v>0</v>
      </c>
      <c r="W271" s="81">
        <f t="shared" si="86"/>
        <v>0</v>
      </c>
      <c r="X271" s="45">
        <f t="shared" si="87"/>
        <v>0</v>
      </c>
      <c r="Y271" s="45" t="s">
        <v>2752</v>
      </c>
      <c r="Z271" s="45" t="str">
        <f t="shared" si="88"/>
        <v>No</v>
      </c>
      <c r="AA271" s="45" t="str">
        <f t="shared" si="88"/>
        <v>No</v>
      </c>
      <c r="AB271" s="45" t="str">
        <f t="shared" si="89"/>
        <v>No</v>
      </c>
      <c r="AC271" s="82">
        <f t="shared" si="90"/>
        <v>0</v>
      </c>
      <c r="AD271" s="82">
        <f t="shared" si="90"/>
        <v>0</v>
      </c>
      <c r="AE271" s="45">
        <f t="shared" si="91"/>
        <v>0</v>
      </c>
      <c r="AF271" s="45">
        <f t="shared" si="91"/>
        <v>0</v>
      </c>
      <c r="AG271" s="45">
        <f t="shared" si="92"/>
        <v>0</v>
      </c>
      <c r="AH271" s="47">
        <f>IFERROR(ROUNDDOWN(INDEX('90% of ACR'!K:K,MATCH(H:H,'90% of ACR'!A:A,0))*IF(I271&gt;0,IF(O271&gt;0,$R$4*MAX(O271-V271,0),0),0)/I271,2),0)</f>
        <v>0</v>
      </c>
      <c r="AI271" s="82">
        <f>IFERROR(ROUNDDOWN(INDEX('90% of ACR'!R:R,MATCH(H:H,'90% of ACR'!A:A,0))*IF(J271&gt;0,IF(P271&gt;0,$R$4*MAX(P271-W271,0),0),0)/J271,2),0)</f>
        <v>0</v>
      </c>
      <c r="AJ271" s="45">
        <f t="shared" si="93"/>
        <v>0</v>
      </c>
      <c r="AK271" s="45">
        <f t="shared" si="93"/>
        <v>0</v>
      </c>
      <c r="AL271" s="47">
        <f t="shared" si="94"/>
        <v>0</v>
      </c>
      <c r="AM271" s="47">
        <f t="shared" si="94"/>
        <v>0</v>
      </c>
      <c r="AN271" s="83">
        <f>IFERROR(INDEX('Fee Calc'!P:P,MATCH(C271,'Fee Calc'!F:F,0)),0)</f>
        <v>0</v>
      </c>
      <c r="AO271" s="83">
        <f>IFERROR(INDEX('Fee Calc'!Q:Q,MATCH(C271,'Fee Calc'!F:F,0)),0)</f>
        <v>0</v>
      </c>
      <c r="AP271" s="83">
        <f t="shared" si="95"/>
        <v>0</v>
      </c>
      <c r="AQ271" s="70">
        <f t="shared" si="96"/>
        <v>0</v>
      </c>
      <c r="AR271" s="70">
        <f t="shared" si="97"/>
        <v>0</v>
      </c>
      <c r="AS271" s="70">
        <f t="shared" si="98"/>
        <v>0</v>
      </c>
    </row>
    <row r="272" spans="1:45" ht="25.5">
      <c r="A272" s="104" t="s">
        <v>2316</v>
      </c>
      <c r="B272" s="124" t="s">
        <v>2316</v>
      </c>
      <c r="C272" s="31" t="s">
        <v>2317</v>
      </c>
      <c r="D272" s="125" t="s">
        <v>2317</v>
      </c>
      <c r="E272" s="119" t="s">
        <v>2699</v>
      </c>
      <c r="F272" s="100" t="s">
        <v>2950</v>
      </c>
      <c r="G272" s="100" t="s">
        <v>223</v>
      </c>
      <c r="H272" s="43" t="str">
        <f t="shared" si="81"/>
        <v>State-owned IMD Dallas</v>
      </c>
      <c r="I272" s="45">
        <f>INDEX('Fee Calc'!M:M,MATCH(C:C,'Fee Calc'!F:F,0))</f>
        <v>369415.19388908474</v>
      </c>
      <c r="J272" s="45">
        <f>INDEX('Fee Calc'!L:L,MATCH(C:C,'Fee Calc'!F:F,0))</f>
        <v>0</v>
      </c>
      <c r="K272" s="45">
        <f t="shared" si="82"/>
        <v>369415.19388908474</v>
      </c>
      <c r="L272" s="45">
        <v>1302672.6200000001</v>
      </c>
      <c r="M272" s="45">
        <v>0</v>
      </c>
      <c r="N272" s="45">
        <f t="shared" si="83"/>
        <v>1302672.6200000001</v>
      </c>
      <c r="O272" s="45">
        <v>-181811.86884936964</v>
      </c>
      <c r="P272" s="45">
        <v>0</v>
      </c>
      <c r="Q272" s="45">
        <f t="shared" si="84"/>
        <v>-181811.86884936964</v>
      </c>
      <c r="R272" s="45" t="str">
        <f t="shared" si="85"/>
        <v>No</v>
      </c>
      <c r="S272" s="46" t="str">
        <f t="shared" si="85"/>
        <v>No</v>
      </c>
      <c r="T272" s="47">
        <f>ROUND(INDEX(Summary!H:H,MATCH(H:H,Summary!A:A,0)),2)</f>
        <v>3.53</v>
      </c>
      <c r="U272" s="47">
        <f>ROUND(INDEX(Summary!I:I,MATCH(H:H,Summary!A:A,0)),2)</f>
        <v>0</v>
      </c>
      <c r="V272" s="81">
        <f t="shared" si="86"/>
        <v>1304035.634428469</v>
      </c>
      <c r="W272" s="81">
        <f t="shared" si="86"/>
        <v>0</v>
      </c>
      <c r="X272" s="45">
        <f t="shared" si="87"/>
        <v>1304035.634428469</v>
      </c>
      <c r="Y272" s="45" t="s">
        <v>2752</v>
      </c>
      <c r="Z272" s="45" t="str">
        <f t="shared" si="88"/>
        <v>No</v>
      </c>
      <c r="AA272" s="45" t="str">
        <f t="shared" si="88"/>
        <v>No</v>
      </c>
      <c r="AB272" s="45" t="str">
        <f t="shared" si="89"/>
        <v>No</v>
      </c>
      <c r="AC272" s="82">
        <f t="shared" si="90"/>
        <v>0</v>
      </c>
      <c r="AD272" s="82">
        <f t="shared" si="90"/>
        <v>0</v>
      </c>
      <c r="AE272" s="45">
        <f t="shared" si="91"/>
        <v>0</v>
      </c>
      <c r="AF272" s="45">
        <f t="shared" si="91"/>
        <v>0</v>
      </c>
      <c r="AG272" s="45">
        <f t="shared" si="92"/>
        <v>0</v>
      </c>
      <c r="AH272" s="47">
        <f>IFERROR(ROUNDDOWN(INDEX('90% of ACR'!K:K,MATCH(H:H,'90% of ACR'!A:A,0))*IF(I272&gt;0,IF(O272&gt;0,$R$4*MAX(O272-V272,0),0),0)/I272,2),0)</f>
        <v>0</v>
      </c>
      <c r="AI272" s="82">
        <f>IFERROR(ROUNDDOWN(INDEX('90% of ACR'!R:R,MATCH(H:H,'90% of ACR'!A:A,0))*IF(J272&gt;0,IF(P272&gt;0,$R$4*MAX(P272-W272,0),0),0)/J272,2),0)</f>
        <v>0</v>
      </c>
      <c r="AJ272" s="45">
        <f t="shared" si="93"/>
        <v>0</v>
      </c>
      <c r="AK272" s="45">
        <f t="shared" si="93"/>
        <v>0</v>
      </c>
      <c r="AL272" s="47">
        <f t="shared" si="94"/>
        <v>3.53</v>
      </c>
      <c r="AM272" s="47">
        <f t="shared" si="94"/>
        <v>0</v>
      </c>
      <c r="AN272" s="83">
        <f>IFERROR(INDEX('Fee Calc'!P:P,MATCH(C272,'Fee Calc'!F:F,0)),0)</f>
        <v>1304035.634428469</v>
      </c>
      <c r="AO272" s="83">
        <f>IFERROR(INDEX('Fee Calc'!Q:Q,MATCH(C272,'Fee Calc'!F:F,0)),0)</f>
        <v>79556.550641524649</v>
      </c>
      <c r="AP272" s="83">
        <f t="shared" si="95"/>
        <v>1383592.1850699936</v>
      </c>
      <c r="AQ272" s="70">
        <f t="shared" si="96"/>
        <v>590838.13797480951</v>
      </c>
      <c r="AR272" s="70">
        <f t="shared" si="97"/>
        <v>295419.06898740475</v>
      </c>
      <c r="AS272" s="70">
        <f t="shared" si="98"/>
        <v>295419.06898740475</v>
      </c>
    </row>
    <row r="273" spans="1:45" ht="25.5">
      <c r="A273" s="104" t="s">
        <v>2318</v>
      </c>
      <c r="B273" s="124" t="s">
        <v>2318</v>
      </c>
      <c r="C273" s="31" t="s">
        <v>2319</v>
      </c>
      <c r="D273" s="125" t="s">
        <v>2319</v>
      </c>
      <c r="E273" s="119" t="s">
        <v>2882</v>
      </c>
      <c r="F273" s="100" t="s">
        <v>2950</v>
      </c>
      <c r="G273" s="100" t="s">
        <v>1486</v>
      </c>
      <c r="H273" s="43" t="str">
        <f t="shared" si="81"/>
        <v>State-owned IMD MRSA Central</v>
      </c>
      <c r="I273" s="45">
        <f>INDEX('Fee Calc'!M:M,MATCH(C:C,'Fee Calc'!F:F,0))</f>
        <v>0</v>
      </c>
      <c r="J273" s="45">
        <f>INDEX('Fee Calc'!L:L,MATCH(C:C,'Fee Calc'!F:F,0))</f>
        <v>0</v>
      </c>
      <c r="K273" s="45">
        <f t="shared" si="82"/>
        <v>0</v>
      </c>
      <c r="L273" s="45">
        <v>0</v>
      </c>
      <c r="M273" s="45">
        <v>0</v>
      </c>
      <c r="N273" s="45">
        <f t="shared" si="83"/>
        <v>0</v>
      </c>
      <c r="O273" s="45">
        <v>0</v>
      </c>
      <c r="P273" s="45">
        <v>0</v>
      </c>
      <c r="Q273" s="45">
        <f t="shared" si="84"/>
        <v>0</v>
      </c>
      <c r="R273" s="45" t="str">
        <f t="shared" si="85"/>
        <v>No</v>
      </c>
      <c r="S273" s="46" t="str">
        <f t="shared" si="85"/>
        <v>No</v>
      </c>
      <c r="T273" s="47">
        <f>ROUND(INDEX(Summary!H:H,MATCH(H:H,Summary!A:A,0)),2)</f>
        <v>0</v>
      </c>
      <c r="U273" s="47">
        <f>ROUND(INDEX(Summary!I:I,MATCH(H:H,Summary!A:A,0)),2)</f>
        <v>0</v>
      </c>
      <c r="V273" s="81">
        <f t="shared" si="86"/>
        <v>0</v>
      </c>
      <c r="W273" s="81">
        <f t="shared" si="86"/>
        <v>0</v>
      </c>
      <c r="X273" s="45">
        <f t="shared" si="87"/>
        <v>0</v>
      </c>
      <c r="Y273" s="45" t="s">
        <v>2752</v>
      </c>
      <c r="Z273" s="45" t="str">
        <f t="shared" si="88"/>
        <v>No</v>
      </c>
      <c r="AA273" s="45" t="str">
        <f t="shared" si="88"/>
        <v>No</v>
      </c>
      <c r="AB273" s="45" t="str">
        <f t="shared" si="89"/>
        <v>No</v>
      </c>
      <c r="AC273" s="82">
        <f t="shared" si="90"/>
        <v>0</v>
      </c>
      <c r="AD273" s="82">
        <f t="shared" si="90"/>
        <v>0</v>
      </c>
      <c r="AE273" s="45">
        <f t="shared" si="91"/>
        <v>0</v>
      </c>
      <c r="AF273" s="45">
        <f t="shared" si="91"/>
        <v>0</v>
      </c>
      <c r="AG273" s="45">
        <f t="shared" si="92"/>
        <v>0</v>
      </c>
      <c r="AH273" s="47">
        <f>IFERROR(ROUNDDOWN(INDEX('90% of ACR'!K:K,MATCH(H:H,'90% of ACR'!A:A,0))*IF(I273&gt;0,IF(O273&gt;0,$R$4*MAX(O273-V273,0),0),0)/I273,2),0)</f>
        <v>0</v>
      </c>
      <c r="AI273" s="82">
        <f>IFERROR(ROUNDDOWN(INDEX('90% of ACR'!R:R,MATCH(H:H,'90% of ACR'!A:A,0))*IF(J273&gt;0,IF(P273&gt;0,$R$4*MAX(P273-W273,0),0),0)/J273,2),0)</f>
        <v>0</v>
      </c>
      <c r="AJ273" s="45">
        <f t="shared" si="93"/>
        <v>0</v>
      </c>
      <c r="AK273" s="45">
        <f t="shared" si="93"/>
        <v>0</v>
      </c>
      <c r="AL273" s="47">
        <f t="shared" si="94"/>
        <v>0</v>
      </c>
      <c r="AM273" s="47">
        <f t="shared" si="94"/>
        <v>0</v>
      </c>
      <c r="AN273" s="83">
        <f>IFERROR(INDEX('Fee Calc'!P:P,MATCH(C273,'Fee Calc'!F:F,0)),0)</f>
        <v>0</v>
      </c>
      <c r="AO273" s="83">
        <f>IFERROR(INDEX('Fee Calc'!Q:Q,MATCH(C273,'Fee Calc'!F:F,0)),0)</f>
        <v>0</v>
      </c>
      <c r="AP273" s="83">
        <f t="shared" si="95"/>
        <v>0</v>
      </c>
      <c r="AQ273" s="70">
        <f t="shared" si="96"/>
        <v>0</v>
      </c>
      <c r="AR273" s="70">
        <f t="shared" si="97"/>
        <v>0</v>
      </c>
      <c r="AS273" s="70">
        <f t="shared" si="98"/>
        <v>0</v>
      </c>
    </row>
    <row r="274" spans="1:45" ht="25.5">
      <c r="A274" s="104" t="s">
        <v>1268</v>
      </c>
      <c r="B274" s="124" t="s">
        <v>1268</v>
      </c>
      <c r="C274" s="31" t="s">
        <v>1269</v>
      </c>
      <c r="D274" s="125" t="s">
        <v>1269</v>
      </c>
      <c r="E274" s="119" t="s">
        <v>2883</v>
      </c>
      <c r="F274" s="100" t="s">
        <v>2529</v>
      </c>
      <c r="G274" s="100" t="s">
        <v>1526</v>
      </c>
      <c r="H274" s="43" t="str">
        <f t="shared" si="81"/>
        <v>Non-state-owned IMD Lubbock</v>
      </c>
      <c r="I274" s="45">
        <f>INDEX('Fee Calc'!M:M,MATCH(C:C,'Fee Calc'!F:F,0))</f>
        <v>6112.2186771548195</v>
      </c>
      <c r="J274" s="45">
        <f>INDEX('Fee Calc'!L:L,MATCH(C:C,'Fee Calc'!F:F,0))</f>
        <v>0</v>
      </c>
      <c r="K274" s="45">
        <f t="shared" si="82"/>
        <v>6112.2186771548195</v>
      </c>
      <c r="L274" s="45">
        <v>882.6</v>
      </c>
      <c r="M274" s="45">
        <v>0</v>
      </c>
      <c r="N274" s="45">
        <f t="shared" si="83"/>
        <v>882.6</v>
      </c>
      <c r="O274" s="45">
        <v>-1785.1992887754877</v>
      </c>
      <c r="P274" s="45">
        <v>0</v>
      </c>
      <c r="Q274" s="45">
        <f t="shared" si="84"/>
        <v>-1785.1992887754877</v>
      </c>
      <c r="R274" s="45" t="str">
        <f t="shared" si="85"/>
        <v>No</v>
      </c>
      <c r="S274" s="46" t="str">
        <f t="shared" si="85"/>
        <v>No</v>
      </c>
      <c r="T274" s="47">
        <f>ROUND(INDEX(Summary!H:H,MATCH(H:H,Summary!A:A,0)),2)</f>
        <v>0.14000000000000001</v>
      </c>
      <c r="U274" s="47">
        <f>ROUND(INDEX(Summary!I:I,MATCH(H:H,Summary!A:A,0)),2)</f>
        <v>0</v>
      </c>
      <c r="V274" s="81">
        <f t="shared" si="86"/>
        <v>855.71061480167486</v>
      </c>
      <c r="W274" s="81">
        <f t="shared" si="86"/>
        <v>0</v>
      </c>
      <c r="X274" s="45">
        <f t="shared" si="87"/>
        <v>855.71061480167486</v>
      </c>
      <c r="Y274" s="45" t="s">
        <v>2752</v>
      </c>
      <c r="Z274" s="45" t="str">
        <f t="shared" si="88"/>
        <v>No</v>
      </c>
      <c r="AA274" s="45" t="str">
        <f t="shared" si="88"/>
        <v>No</v>
      </c>
      <c r="AB274" s="45" t="str">
        <f t="shared" si="89"/>
        <v>No</v>
      </c>
      <c r="AC274" s="82">
        <f t="shared" si="90"/>
        <v>0</v>
      </c>
      <c r="AD274" s="82">
        <f t="shared" si="90"/>
        <v>0</v>
      </c>
      <c r="AE274" s="45">
        <f t="shared" si="91"/>
        <v>0</v>
      </c>
      <c r="AF274" s="45">
        <f t="shared" si="91"/>
        <v>0</v>
      </c>
      <c r="AG274" s="45">
        <f t="shared" si="92"/>
        <v>0</v>
      </c>
      <c r="AH274" s="47">
        <f>IFERROR(ROUNDDOWN(INDEX('90% of ACR'!K:K,MATCH(H:H,'90% of ACR'!A:A,0))*IF(I274&gt;0,IF(O274&gt;0,$R$4*MAX(O274-V274,0),0),0)/I274,2),0)</f>
        <v>0</v>
      </c>
      <c r="AI274" s="82">
        <f>IFERROR(ROUNDDOWN(INDEX('90% of ACR'!R:R,MATCH(H:H,'90% of ACR'!A:A,0))*IF(J274&gt;0,IF(P274&gt;0,$R$4*MAX(P274-W274,0),0),0)/J274,2),0)</f>
        <v>0</v>
      </c>
      <c r="AJ274" s="45">
        <f t="shared" si="93"/>
        <v>0</v>
      </c>
      <c r="AK274" s="45">
        <f t="shared" si="93"/>
        <v>0</v>
      </c>
      <c r="AL274" s="47">
        <f t="shared" si="94"/>
        <v>0.14000000000000001</v>
      </c>
      <c r="AM274" s="47">
        <f t="shared" si="94"/>
        <v>0</v>
      </c>
      <c r="AN274" s="83">
        <f>IFERROR(INDEX('Fee Calc'!P:P,MATCH(C274,'Fee Calc'!F:F,0)),0)</f>
        <v>855.71061480167486</v>
      </c>
      <c r="AO274" s="83">
        <f>IFERROR(INDEX('Fee Calc'!Q:Q,MATCH(C274,'Fee Calc'!F:F,0)),0)</f>
        <v>52.205156871189715</v>
      </c>
      <c r="AP274" s="83">
        <f t="shared" si="95"/>
        <v>907.91577167286459</v>
      </c>
      <c r="AQ274" s="70">
        <f t="shared" si="96"/>
        <v>387.70908780900669</v>
      </c>
      <c r="AR274" s="70">
        <f t="shared" si="97"/>
        <v>193.85454390450334</v>
      </c>
      <c r="AS274" s="70">
        <f t="shared" si="98"/>
        <v>193.85454390450334</v>
      </c>
    </row>
    <row r="275" spans="1:45">
      <c r="A275" s="104" t="s">
        <v>1336</v>
      </c>
      <c r="B275" s="124" t="s">
        <v>1336</v>
      </c>
      <c r="C275" s="31" t="s">
        <v>1337</v>
      </c>
      <c r="D275" s="125" t="s">
        <v>1337</v>
      </c>
      <c r="E275" s="119" t="s">
        <v>2884</v>
      </c>
      <c r="F275" s="100" t="s">
        <v>2291</v>
      </c>
      <c r="G275" s="100" t="s">
        <v>310</v>
      </c>
      <c r="H275" s="43" t="str">
        <f t="shared" si="81"/>
        <v>Rural MRSA Northeast</v>
      </c>
      <c r="I275" s="45">
        <f>INDEX('Fee Calc'!M:M,MATCH(C:C,'Fee Calc'!F:F,0))</f>
        <v>5427043.5744687198</v>
      </c>
      <c r="J275" s="45">
        <f>INDEX('Fee Calc'!L:L,MATCH(C:C,'Fee Calc'!F:F,0))</f>
        <v>2509861.2318759621</v>
      </c>
      <c r="K275" s="45">
        <f t="shared" si="82"/>
        <v>7936904.8063446824</v>
      </c>
      <c r="L275" s="45">
        <v>-455324.83</v>
      </c>
      <c r="M275" s="45">
        <v>2489886.44</v>
      </c>
      <c r="N275" s="45">
        <f t="shared" si="83"/>
        <v>2034561.6099999999</v>
      </c>
      <c r="O275" s="45">
        <v>1353135.5123091191</v>
      </c>
      <c r="P275" s="45">
        <v>3816376.4572637607</v>
      </c>
      <c r="Q275" s="45">
        <f t="shared" si="84"/>
        <v>5169511.9695728794</v>
      </c>
      <c r="R275" s="45" t="str">
        <f t="shared" si="85"/>
        <v>Yes</v>
      </c>
      <c r="S275" s="46" t="str">
        <f t="shared" si="85"/>
        <v>Yes</v>
      </c>
      <c r="T275" s="47">
        <f>ROUND(INDEX(Summary!H:H,MATCH(H:H,Summary!A:A,0)),2)</f>
        <v>0</v>
      </c>
      <c r="U275" s="47">
        <f>ROUND(INDEX(Summary!I:I,MATCH(H:H,Summary!A:A,0)),2)</f>
        <v>0.3</v>
      </c>
      <c r="V275" s="81">
        <f t="shared" si="86"/>
        <v>0</v>
      </c>
      <c r="W275" s="81">
        <f t="shared" si="86"/>
        <v>752958.36956278863</v>
      </c>
      <c r="X275" s="45">
        <f t="shared" si="87"/>
        <v>752958.36956278863</v>
      </c>
      <c r="Y275" s="45" t="s">
        <v>2752</v>
      </c>
      <c r="Z275" s="45" t="str">
        <f t="shared" si="88"/>
        <v>Yes</v>
      </c>
      <c r="AA275" s="45" t="str">
        <f t="shared" si="88"/>
        <v>Yes</v>
      </c>
      <c r="AB275" s="45" t="str">
        <f t="shared" si="89"/>
        <v>Yes</v>
      </c>
      <c r="AC275" s="82">
        <f t="shared" si="90"/>
        <v>0.17</v>
      </c>
      <c r="AD275" s="82">
        <f t="shared" si="90"/>
        <v>0.85</v>
      </c>
      <c r="AE275" s="45">
        <f t="shared" si="91"/>
        <v>922597.40765968245</v>
      </c>
      <c r="AF275" s="45">
        <f t="shared" si="91"/>
        <v>2133382.0470945677</v>
      </c>
      <c r="AG275" s="45">
        <f t="shared" si="92"/>
        <v>3055979.4547542501</v>
      </c>
      <c r="AH275" s="47">
        <f>IFERROR(ROUNDDOWN(INDEX('90% of ACR'!K:K,MATCH(H:H,'90% of ACR'!A:A,0))*IF(I275&gt;0,IF(O275&gt;0,$R$4*MAX(O275-V275,0),0),0)/I275,2),0)</f>
        <v>0.11</v>
      </c>
      <c r="AI275" s="82">
        <f>IFERROR(ROUNDDOWN(INDEX('90% of ACR'!R:R,MATCH(H:H,'90% of ACR'!A:A,0))*IF(J275&gt;0,IF(P275&gt;0,$R$4*MAX(P275-W275,0),0),0)/J275,2),0)</f>
        <v>0.85</v>
      </c>
      <c r="AJ275" s="45">
        <f t="shared" si="93"/>
        <v>596974.79319155915</v>
      </c>
      <c r="AK275" s="45">
        <f t="shared" si="93"/>
        <v>2133382.0470945677</v>
      </c>
      <c r="AL275" s="47">
        <f t="shared" si="94"/>
        <v>0.11</v>
      </c>
      <c r="AM275" s="47">
        <f t="shared" si="94"/>
        <v>1.1499999999999999</v>
      </c>
      <c r="AN275" s="83">
        <f>IFERROR(INDEX('Fee Calc'!P:P,MATCH(C275,'Fee Calc'!F:F,0)),0)</f>
        <v>3483315.2098489152</v>
      </c>
      <c r="AO275" s="83">
        <f>IFERROR(INDEX('Fee Calc'!Q:Q,MATCH(C275,'Fee Calc'!F:F,0)),0)</f>
        <v>214731.23800487688</v>
      </c>
      <c r="AP275" s="83">
        <f t="shared" si="95"/>
        <v>3698046.447853792</v>
      </c>
      <c r="AQ275" s="70">
        <f t="shared" si="96"/>
        <v>1579184.1707199004</v>
      </c>
      <c r="AR275" s="70">
        <f t="shared" si="97"/>
        <v>789592.0853599502</v>
      </c>
      <c r="AS275" s="70">
        <f t="shared" si="98"/>
        <v>789592.0853599502</v>
      </c>
    </row>
    <row r="276" spans="1:45">
      <c r="A276" s="104" t="s">
        <v>111</v>
      </c>
      <c r="B276" s="124" t="s">
        <v>111</v>
      </c>
      <c r="C276" s="31" t="s">
        <v>112</v>
      </c>
      <c r="D276" s="125" t="s">
        <v>112</v>
      </c>
      <c r="E276" s="119" t="s">
        <v>2413</v>
      </c>
      <c r="F276" s="100" t="s">
        <v>2291</v>
      </c>
      <c r="G276" s="100" t="s">
        <v>227</v>
      </c>
      <c r="H276" s="43" t="str">
        <f t="shared" si="81"/>
        <v>Rural MRSA West</v>
      </c>
      <c r="I276" s="45">
        <f>INDEX('Fee Calc'!M:M,MATCH(C:C,'Fee Calc'!F:F,0))</f>
        <v>1652746.1196270701</v>
      </c>
      <c r="J276" s="45">
        <f>INDEX('Fee Calc'!L:L,MATCH(C:C,'Fee Calc'!F:F,0))</f>
        <v>2090863.0521463207</v>
      </c>
      <c r="K276" s="45">
        <f t="shared" si="82"/>
        <v>3743609.1717733908</v>
      </c>
      <c r="L276" s="45">
        <v>1158952.1100000001</v>
      </c>
      <c r="M276" s="45">
        <v>13306.21</v>
      </c>
      <c r="N276" s="45">
        <f t="shared" si="83"/>
        <v>1172258.32</v>
      </c>
      <c r="O276" s="45">
        <v>641930.6191056635</v>
      </c>
      <c r="P276" s="45">
        <v>834649.233919046</v>
      </c>
      <c r="Q276" s="45">
        <f t="shared" si="84"/>
        <v>1476579.8530247095</v>
      </c>
      <c r="R276" s="45" t="str">
        <f t="shared" si="85"/>
        <v>Yes</v>
      </c>
      <c r="S276" s="46" t="str">
        <f t="shared" si="85"/>
        <v>Yes</v>
      </c>
      <c r="T276" s="47">
        <f>ROUND(INDEX(Summary!H:H,MATCH(H:H,Summary!A:A,0)),2)</f>
        <v>0</v>
      </c>
      <c r="U276" s="47">
        <f>ROUND(INDEX(Summary!I:I,MATCH(H:H,Summary!A:A,0)),2)</f>
        <v>0.2</v>
      </c>
      <c r="V276" s="81">
        <f t="shared" si="86"/>
        <v>0</v>
      </c>
      <c r="W276" s="81">
        <f t="shared" si="86"/>
        <v>418172.61042926414</v>
      </c>
      <c r="X276" s="45">
        <f t="shared" si="87"/>
        <v>418172.61042926414</v>
      </c>
      <c r="Y276" s="45" t="s">
        <v>2752</v>
      </c>
      <c r="Z276" s="45" t="str">
        <f t="shared" si="88"/>
        <v>No</v>
      </c>
      <c r="AA276" s="45" t="str">
        <f t="shared" si="88"/>
        <v>Yes</v>
      </c>
      <c r="AB276" s="45" t="str">
        <f t="shared" si="89"/>
        <v>Yes</v>
      </c>
      <c r="AC276" s="82">
        <f t="shared" si="90"/>
        <v>0.27</v>
      </c>
      <c r="AD276" s="82">
        <f t="shared" si="90"/>
        <v>0.14000000000000001</v>
      </c>
      <c r="AE276" s="45">
        <f t="shared" si="91"/>
        <v>446241.45229930896</v>
      </c>
      <c r="AF276" s="45">
        <f t="shared" si="91"/>
        <v>292720.82730048493</v>
      </c>
      <c r="AG276" s="45">
        <f t="shared" si="92"/>
        <v>738962.27959979395</v>
      </c>
      <c r="AH276" s="47">
        <f>IFERROR(ROUNDDOWN(INDEX('90% of ACR'!K:K,MATCH(H:H,'90% of ACR'!A:A,0))*IF(I276&gt;0,IF(O276&gt;0,$R$4*MAX(O276-V276,0),0),0)/I276,2),0)</f>
        <v>0</v>
      </c>
      <c r="AI276" s="82">
        <f>IFERROR(ROUNDDOWN(INDEX('90% of ACR'!R:R,MATCH(H:H,'90% of ACR'!A:A,0))*IF(J276&gt;0,IF(P276&gt;0,$R$4*MAX(P276-W276,0),0),0)/J276,2),0)</f>
        <v>0.12</v>
      </c>
      <c r="AJ276" s="45">
        <f t="shared" si="93"/>
        <v>0</v>
      </c>
      <c r="AK276" s="45">
        <f t="shared" si="93"/>
        <v>250903.56625755847</v>
      </c>
      <c r="AL276" s="47">
        <f t="shared" si="94"/>
        <v>0</v>
      </c>
      <c r="AM276" s="47">
        <f t="shared" si="94"/>
        <v>0.32</v>
      </c>
      <c r="AN276" s="83">
        <f>IFERROR(INDEX('Fee Calc'!P:P,MATCH(C276,'Fee Calc'!F:F,0)),0)</f>
        <v>669076.17668682267</v>
      </c>
      <c r="AO276" s="83">
        <f>IFERROR(INDEX('Fee Calc'!Q:Q,MATCH(C276,'Fee Calc'!F:F,0)),0)</f>
        <v>40976.565085586568</v>
      </c>
      <c r="AP276" s="83">
        <f t="shared" si="95"/>
        <v>710052.7417724093</v>
      </c>
      <c r="AQ276" s="70">
        <f t="shared" si="96"/>
        <v>303215.24242455547</v>
      </c>
      <c r="AR276" s="70">
        <f t="shared" si="97"/>
        <v>151607.62121227774</v>
      </c>
      <c r="AS276" s="70">
        <f t="shared" si="98"/>
        <v>151607.62121227774</v>
      </c>
    </row>
    <row r="277" spans="1:45">
      <c r="A277" s="104" t="s">
        <v>707</v>
      </c>
      <c r="B277" s="124" t="s">
        <v>707</v>
      </c>
      <c r="C277" s="31" t="s">
        <v>708</v>
      </c>
      <c r="D277" s="125" t="s">
        <v>708</v>
      </c>
      <c r="E277" s="119" t="s">
        <v>2604</v>
      </c>
      <c r="F277" s="100" t="s">
        <v>2291</v>
      </c>
      <c r="G277" s="100" t="s">
        <v>1486</v>
      </c>
      <c r="H277" s="43" t="str">
        <f t="shared" si="81"/>
        <v>Rural MRSA Central</v>
      </c>
      <c r="I277" s="45">
        <f>INDEX('Fee Calc'!M:M,MATCH(C:C,'Fee Calc'!F:F,0))</f>
        <v>134604.66877969398</v>
      </c>
      <c r="J277" s="45">
        <f>INDEX('Fee Calc'!L:L,MATCH(C:C,'Fee Calc'!F:F,0))</f>
        <v>516177.90077113488</v>
      </c>
      <c r="K277" s="45">
        <f t="shared" si="82"/>
        <v>650782.56955082889</v>
      </c>
      <c r="L277" s="45">
        <v>26985.5</v>
      </c>
      <c r="M277" s="45">
        <v>70737.58</v>
      </c>
      <c r="N277" s="45">
        <f t="shared" si="83"/>
        <v>97723.08</v>
      </c>
      <c r="O277" s="45">
        <v>51747.943414851179</v>
      </c>
      <c r="P277" s="45">
        <v>180821.07217260142</v>
      </c>
      <c r="Q277" s="45">
        <f t="shared" si="84"/>
        <v>232569.0155874526</v>
      </c>
      <c r="R277" s="45" t="str">
        <f t="shared" si="85"/>
        <v>Yes</v>
      </c>
      <c r="S277" s="46" t="str">
        <f t="shared" si="85"/>
        <v>Yes</v>
      </c>
      <c r="T277" s="47">
        <f>ROUND(INDEX(Summary!H:H,MATCH(H:H,Summary!A:A,0)),2)</f>
        <v>0.09</v>
      </c>
      <c r="U277" s="47">
        <f>ROUND(INDEX(Summary!I:I,MATCH(H:H,Summary!A:A,0)),2)</f>
        <v>0.09</v>
      </c>
      <c r="V277" s="81">
        <f t="shared" si="86"/>
        <v>12114.420190172457</v>
      </c>
      <c r="W277" s="81">
        <f t="shared" si="86"/>
        <v>46456.011069402135</v>
      </c>
      <c r="X277" s="45">
        <f t="shared" si="87"/>
        <v>58570.431259574594</v>
      </c>
      <c r="Y277" s="45" t="s">
        <v>2752</v>
      </c>
      <c r="Z277" s="45" t="str">
        <f t="shared" si="88"/>
        <v>Yes</v>
      </c>
      <c r="AA277" s="45" t="str">
        <f t="shared" si="88"/>
        <v>Yes</v>
      </c>
      <c r="AB277" s="45" t="str">
        <f t="shared" si="89"/>
        <v>Yes</v>
      </c>
      <c r="AC277" s="82">
        <f t="shared" si="90"/>
        <v>0.21</v>
      </c>
      <c r="AD277" s="82">
        <f t="shared" si="90"/>
        <v>0.18</v>
      </c>
      <c r="AE277" s="45">
        <f t="shared" si="91"/>
        <v>28266.980443735734</v>
      </c>
      <c r="AF277" s="45">
        <f t="shared" si="91"/>
        <v>92912.02213880427</v>
      </c>
      <c r="AG277" s="45">
        <f t="shared" si="92"/>
        <v>121179.00258254001</v>
      </c>
      <c r="AH277" s="47">
        <f>IFERROR(ROUNDDOWN(INDEX('90% of ACR'!K:K,MATCH(H:H,'90% of ACR'!A:A,0))*IF(I277&gt;0,IF(O277&gt;0,$R$4*MAX(O277-V277,0),0),0)/I277,2),0)</f>
        <v>0.1</v>
      </c>
      <c r="AI277" s="82">
        <f>IFERROR(ROUNDDOWN(INDEX('90% of ACR'!R:R,MATCH(H:H,'90% of ACR'!A:A,0))*IF(J277&gt;0,IF(P277&gt;0,$R$4*MAX(P277-W277,0),0),0)/J277,2),0)</f>
        <v>0.18</v>
      </c>
      <c r="AJ277" s="45">
        <f t="shared" si="93"/>
        <v>13460.466877969398</v>
      </c>
      <c r="AK277" s="45">
        <f t="shared" si="93"/>
        <v>92912.02213880427</v>
      </c>
      <c r="AL277" s="47">
        <f t="shared" si="94"/>
        <v>0.19</v>
      </c>
      <c r="AM277" s="47">
        <f t="shared" si="94"/>
        <v>0.27</v>
      </c>
      <c r="AN277" s="83">
        <f>IFERROR(INDEX('Fee Calc'!P:P,MATCH(C277,'Fee Calc'!F:F,0)),0)</f>
        <v>164942.9202763483</v>
      </c>
      <c r="AO277" s="83">
        <f>IFERROR(INDEX('Fee Calc'!Q:Q,MATCH(C277,'Fee Calc'!F:F,0)),0)</f>
        <v>10270.089084634779</v>
      </c>
      <c r="AP277" s="83">
        <f t="shared" si="95"/>
        <v>175213.00936098309</v>
      </c>
      <c r="AQ277" s="70">
        <f t="shared" si="96"/>
        <v>74821.56181343933</v>
      </c>
      <c r="AR277" s="70">
        <f t="shared" si="97"/>
        <v>37410.780906719665</v>
      </c>
      <c r="AS277" s="70">
        <f t="shared" si="98"/>
        <v>37410.780906719665</v>
      </c>
    </row>
    <row r="278" spans="1:45">
      <c r="A278" s="104" t="s">
        <v>468</v>
      </c>
      <c r="B278" s="124" t="s">
        <v>468</v>
      </c>
      <c r="C278" s="31" t="s">
        <v>469</v>
      </c>
      <c r="D278" s="125" t="s">
        <v>469</v>
      </c>
      <c r="E278" s="119" t="s">
        <v>2566</v>
      </c>
      <c r="F278" s="100" t="s">
        <v>2279</v>
      </c>
      <c r="G278" s="100" t="s">
        <v>1365</v>
      </c>
      <c r="H278" s="43" t="str">
        <f t="shared" si="81"/>
        <v>Urban Tarrant</v>
      </c>
      <c r="I278" s="45">
        <f>INDEX('Fee Calc'!M:M,MATCH(C:C,'Fee Calc'!F:F,0))</f>
        <v>520909.59063314548</v>
      </c>
      <c r="J278" s="45">
        <f>INDEX('Fee Calc'!L:L,MATCH(C:C,'Fee Calc'!F:F,0))</f>
        <v>386170.24476751051</v>
      </c>
      <c r="K278" s="45">
        <f t="shared" si="82"/>
        <v>907079.83540065598</v>
      </c>
      <c r="L278" s="45">
        <v>225220.37</v>
      </c>
      <c r="M278" s="45">
        <v>195785.28</v>
      </c>
      <c r="N278" s="45">
        <f t="shared" si="83"/>
        <v>421005.65</v>
      </c>
      <c r="O278" s="45">
        <v>1124861.6707073657</v>
      </c>
      <c r="P278" s="45">
        <v>287702.73254748719</v>
      </c>
      <c r="Q278" s="45">
        <f t="shared" si="84"/>
        <v>1412564.4032548529</v>
      </c>
      <c r="R278" s="45" t="str">
        <f t="shared" si="85"/>
        <v>Yes</v>
      </c>
      <c r="S278" s="46" t="str">
        <f t="shared" si="85"/>
        <v>Yes</v>
      </c>
      <c r="T278" s="47">
        <f>ROUND(INDEX(Summary!H:H,MATCH(H:H,Summary!A:A,0)),2)</f>
        <v>0.74</v>
      </c>
      <c r="U278" s="47">
        <f>ROUND(INDEX(Summary!I:I,MATCH(H:H,Summary!A:A,0)),2)</f>
        <v>0.49</v>
      </c>
      <c r="V278" s="81">
        <f t="shared" si="86"/>
        <v>385473.09706852766</v>
      </c>
      <c r="W278" s="81">
        <f t="shared" si="86"/>
        <v>189223.41993608014</v>
      </c>
      <c r="X278" s="45">
        <f t="shared" si="87"/>
        <v>574696.51700460783</v>
      </c>
      <c r="Y278" s="45" t="s">
        <v>2752</v>
      </c>
      <c r="Z278" s="45" t="str">
        <f t="shared" si="88"/>
        <v>Yes</v>
      </c>
      <c r="AA278" s="45" t="str">
        <f t="shared" si="88"/>
        <v>Yes</v>
      </c>
      <c r="AB278" s="45" t="str">
        <f t="shared" si="89"/>
        <v>Yes</v>
      </c>
      <c r="AC278" s="82">
        <f t="shared" si="90"/>
        <v>0.99</v>
      </c>
      <c r="AD278" s="82">
        <f t="shared" si="90"/>
        <v>0.18</v>
      </c>
      <c r="AE278" s="45">
        <f t="shared" si="91"/>
        <v>515700.49472681404</v>
      </c>
      <c r="AF278" s="45">
        <f t="shared" si="91"/>
        <v>69510.644058151884</v>
      </c>
      <c r="AG278" s="45">
        <f t="shared" si="92"/>
        <v>585211.13878496597</v>
      </c>
      <c r="AH278" s="47">
        <f>IFERROR(ROUNDDOWN(INDEX('90% of ACR'!K:K,MATCH(H:H,'90% of ACR'!A:A,0))*IF(I278&gt;0,IF(O278&gt;0,$R$4*MAX(O278-V278,0),0),0)/I278,2),0)</f>
        <v>0.98</v>
      </c>
      <c r="AI278" s="82">
        <f>IFERROR(ROUNDDOWN(INDEX('90% of ACR'!R:R,MATCH(H:H,'90% of ACR'!A:A,0))*IF(J278&gt;0,IF(P278&gt;0,$R$4*MAX(P278-W278,0),0),0)/J278,2),0)</f>
        <v>0.17</v>
      </c>
      <c r="AJ278" s="45">
        <f t="shared" si="93"/>
        <v>510491.39882048254</v>
      </c>
      <c r="AK278" s="45">
        <f t="shared" si="93"/>
        <v>65648.941610476788</v>
      </c>
      <c r="AL278" s="47">
        <f t="shared" si="94"/>
        <v>1.72</v>
      </c>
      <c r="AM278" s="47">
        <f t="shared" si="94"/>
        <v>0.66</v>
      </c>
      <c r="AN278" s="83">
        <f>IFERROR(INDEX('Fee Calc'!P:P,MATCH(C278,'Fee Calc'!F:F,0)),0)</f>
        <v>1150836.8574355673</v>
      </c>
      <c r="AO278" s="83">
        <f>IFERROR(INDEX('Fee Calc'!Q:Q,MATCH(C278,'Fee Calc'!F:F,0)),0)</f>
        <v>72622.901899527089</v>
      </c>
      <c r="AP278" s="83">
        <f t="shared" si="95"/>
        <v>1223459.7593350944</v>
      </c>
      <c r="AQ278" s="70">
        <f t="shared" si="96"/>
        <v>522456.467948384</v>
      </c>
      <c r="AR278" s="70">
        <f t="shared" si="97"/>
        <v>261228.233974192</v>
      </c>
      <c r="AS278" s="70">
        <f t="shared" si="98"/>
        <v>261228.233974192</v>
      </c>
    </row>
    <row r="279" spans="1:45">
      <c r="A279" s="104" t="s">
        <v>97</v>
      </c>
      <c r="B279" s="124" t="s">
        <v>97</v>
      </c>
      <c r="C279" s="31" t="s">
        <v>98</v>
      </c>
      <c r="D279" s="125" t="s">
        <v>98</v>
      </c>
      <c r="E279" s="119" t="s">
        <v>2885</v>
      </c>
      <c r="F279" s="100" t="s">
        <v>2291</v>
      </c>
      <c r="G279" s="100" t="s">
        <v>1486</v>
      </c>
      <c r="H279" s="43" t="str">
        <f t="shared" si="81"/>
        <v>Rural MRSA Central</v>
      </c>
      <c r="I279" s="45">
        <f>INDEX('Fee Calc'!M:M,MATCH(C:C,'Fee Calc'!F:F,0))</f>
        <v>1667544.2422089733</v>
      </c>
      <c r="J279" s="45">
        <f>INDEX('Fee Calc'!L:L,MATCH(C:C,'Fee Calc'!F:F,0))</f>
        <v>1358244.1116088533</v>
      </c>
      <c r="K279" s="45">
        <f t="shared" si="82"/>
        <v>3025788.3538178266</v>
      </c>
      <c r="L279" s="45">
        <v>293668.82</v>
      </c>
      <c r="M279" s="45">
        <v>377073.15</v>
      </c>
      <c r="N279" s="45">
        <f t="shared" si="83"/>
        <v>670741.97</v>
      </c>
      <c r="O279" s="45">
        <v>199594.25798556185</v>
      </c>
      <c r="P279" s="45">
        <v>565487.32062444766</v>
      </c>
      <c r="Q279" s="45">
        <f t="shared" si="84"/>
        <v>765081.57861000951</v>
      </c>
      <c r="R279" s="45" t="str">
        <f t="shared" si="85"/>
        <v>Yes</v>
      </c>
      <c r="S279" s="46" t="str">
        <f t="shared" si="85"/>
        <v>Yes</v>
      </c>
      <c r="T279" s="47">
        <f>ROUND(INDEX(Summary!H:H,MATCH(H:H,Summary!A:A,0)),2)</f>
        <v>0.09</v>
      </c>
      <c r="U279" s="47">
        <f>ROUND(INDEX(Summary!I:I,MATCH(H:H,Summary!A:A,0)),2)</f>
        <v>0.09</v>
      </c>
      <c r="V279" s="81">
        <f t="shared" si="86"/>
        <v>150078.9817988076</v>
      </c>
      <c r="W279" s="81">
        <f t="shared" si="86"/>
        <v>122241.97004479679</v>
      </c>
      <c r="X279" s="45">
        <f t="shared" si="87"/>
        <v>272320.95184360439</v>
      </c>
      <c r="Y279" s="45" t="s">
        <v>2752</v>
      </c>
      <c r="Z279" s="45" t="str">
        <f t="shared" si="88"/>
        <v>Yes</v>
      </c>
      <c r="AA279" s="45" t="str">
        <f t="shared" si="88"/>
        <v>Yes</v>
      </c>
      <c r="AB279" s="45" t="str">
        <f t="shared" si="89"/>
        <v>Yes</v>
      </c>
      <c r="AC279" s="82">
        <f t="shared" si="90"/>
        <v>0.02</v>
      </c>
      <c r="AD279" s="82">
        <f t="shared" si="90"/>
        <v>0.23</v>
      </c>
      <c r="AE279" s="45">
        <f t="shared" si="91"/>
        <v>33350.884844179469</v>
      </c>
      <c r="AF279" s="45">
        <f t="shared" si="91"/>
        <v>312396.14567003626</v>
      </c>
      <c r="AG279" s="45">
        <f t="shared" si="92"/>
        <v>345747.0305142157</v>
      </c>
      <c r="AH279" s="47">
        <f>IFERROR(ROUNDDOWN(INDEX('90% of ACR'!K:K,MATCH(H:H,'90% of ACR'!A:A,0))*IF(I279&gt;0,IF(O279&gt;0,$R$4*MAX(O279-V279,0),0),0)/I279,2),0)</f>
        <v>0.01</v>
      </c>
      <c r="AI279" s="82">
        <f>IFERROR(ROUNDDOWN(INDEX('90% of ACR'!R:R,MATCH(H:H,'90% of ACR'!A:A,0))*IF(J279&gt;0,IF(P279&gt;0,$R$4*MAX(P279-W279,0),0),0)/J279,2),0)</f>
        <v>0.22</v>
      </c>
      <c r="AJ279" s="45">
        <f t="shared" si="93"/>
        <v>16675.442422089734</v>
      </c>
      <c r="AK279" s="45">
        <f t="shared" si="93"/>
        <v>298813.70455394773</v>
      </c>
      <c r="AL279" s="47">
        <f t="shared" si="94"/>
        <v>9.9999999999999992E-2</v>
      </c>
      <c r="AM279" s="47">
        <f t="shared" si="94"/>
        <v>0.31</v>
      </c>
      <c r="AN279" s="83">
        <f>IFERROR(INDEX('Fee Calc'!P:P,MATCH(C279,'Fee Calc'!F:F,0)),0)</f>
        <v>587810.09881964186</v>
      </c>
      <c r="AO279" s="83">
        <f>IFERROR(INDEX('Fee Calc'!Q:Q,MATCH(C279,'Fee Calc'!F:F,0)),0)</f>
        <v>36215.157447947109</v>
      </c>
      <c r="AP279" s="83">
        <f t="shared" si="95"/>
        <v>624025.25626758893</v>
      </c>
      <c r="AQ279" s="70">
        <f t="shared" si="96"/>
        <v>266478.75323446101</v>
      </c>
      <c r="AR279" s="70">
        <f t="shared" si="97"/>
        <v>133239.3766172305</v>
      </c>
      <c r="AS279" s="70">
        <f t="shared" si="98"/>
        <v>133239.3766172305</v>
      </c>
    </row>
    <row r="280" spans="1:45">
      <c r="A280" s="104" t="s">
        <v>620</v>
      </c>
      <c r="B280" s="124" t="s">
        <v>620</v>
      </c>
      <c r="C280" s="31" t="s">
        <v>621</v>
      </c>
      <c r="D280" s="125" t="s">
        <v>621</v>
      </c>
      <c r="E280" s="119" t="s">
        <v>2886</v>
      </c>
      <c r="F280" s="100" t="s">
        <v>2291</v>
      </c>
      <c r="G280" s="100" t="s">
        <v>227</v>
      </c>
      <c r="H280" s="43" t="str">
        <f t="shared" si="81"/>
        <v>Rural MRSA West</v>
      </c>
      <c r="I280" s="45">
        <f>INDEX('Fee Calc'!M:M,MATCH(C:C,'Fee Calc'!F:F,0))</f>
        <v>323073.72527563525</v>
      </c>
      <c r="J280" s="45">
        <f>INDEX('Fee Calc'!L:L,MATCH(C:C,'Fee Calc'!F:F,0))</f>
        <v>564314.75797133113</v>
      </c>
      <c r="K280" s="45">
        <f t="shared" si="82"/>
        <v>887388.48324696638</v>
      </c>
      <c r="L280" s="45">
        <v>117606.62</v>
      </c>
      <c r="M280" s="45">
        <v>151201.94</v>
      </c>
      <c r="N280" s="45">
        <f t="shared" si="83"/>
        <v>268808.56</v>
      </c>
      <c r="O280" s="45">
        <v>-76068.992451453785</v>
      </c>
      <c r="P280" s="45">
        <v>61096.637757426506</v>
      </c>
      <c r="Q280" s="45">
        <f t="shared" si="84"/>
        <v>-14972.354694027279</v>
      </c>
      <c r="R280" s="45" t="str">
        <f t="shared" si="85"/>
        <v>No</v>
      </c>
      <c r="S280" s="46" t="str">
        <f t="shared" si="85"/>
        <v>Yes</v>
      </c>
      <c r="T280" s="47">
        <f>ROUND(INDEX(Summary!H:H,MATCH(H:H,Summary!A:A,0)),2)</f>
        <v>0</v>
      </c>
      <c r="U280" s="47">
        <f>ROUND(INDEX(Summary!I:I,MATCH(H:H,Summary!A:A,0)),2)</f>
        <v>0.2</v>
      </c>
      <c r="V280" s="81">
        <f t="shared" si="86"/>
        <v>0</v>
      </c>
      <c r="W280" s="81">
        <f t="shared" si="86"/>
        <v>112862.95159426623</v>
      </c>
      <c r="X280" s="45">
        <f t="shared" si="87"/>
        <v>112862.95159426623</v>
      </c>
      <c r="Y280" s="45" t="s">
        <v>2752</v>
      </c>
      <c r="Z280" s="45" t="str">
        <f t="shared" si="88"/>
        <v>No</v>
      </c>
      <c r="AA280" s="45" t="str">
        <f t="shared" si="88"/>
        <v>No</v>
      </c>
      <c r="AB280" s="45" t="str">
        <f t="shared" si="89"/>
        <v>No</v>
      </c>
      <c r="AC280" s="82">
        <f t="shared" si="90"/>
        <v>0</v>
      </c>
      <c r="AD280" s="82">
        <f t="shared" si="90"/>
        <v>0</v>
      </c>
      <c r="AE280" s="45">
        <f t="shared" si="91"/>
        <v>0</v>
      </c>
      <c r="AF280" s="45">
        <f t="shared" si="91"/>
        <v>0</v>
      </c>
      <c r="AG280" s="45">
        <f t="shared" si="92"/>
        <v>0</v>
      </c>
      <c r="AH280" s="47">
        <f>IFERROR(ROUNDDOWN(INDEX('90% of ACR'!K:K,MATCH(H:H,'90% of ACR'!A:A,0))*IF(I280&gt;0,IF(O280&gt;0,$R$4*MAX(O280-V280,0),0),0)/I280,2),0)</f>
        <v>0</v>
      </c>
      <c r="AI280" s="82">
        <f>IFERROR(ROUNDDOWN(INDEX('90% of ACR'!R:R,MATCH(H:H,'90% of ACR'!A:A,0))*IF(J280&gt;0,IF(P280&gt;0,$R$4*MAX(P280-W280,0),0),0)/J280,2),0)</f>
        <v>0</v>
      </c>
      <c r="AJ280" s="45">
        <f t="shared" si="93"/>
        <v>0</v>
      </c>
      <c r="AK280" s="45">
        <f t="shared" si="93"/>
        <v>0</v>
      </c>
      <c r="AL280" s="47">
        <f t="shared" si="94"/>
        <v>0</v>
      </c>
      <c r="AM280" s="47">
        <f t="shared" si="94"/>
        <v>0.2</v>
      </c>
      <c r="AN280" s="83">
        <f>IFERROR(INDEX('Fee Calc'!P:P,MATCH(C280,'Fee Calc'!F:F,0)),0)</f>
        <v>112862.95159426623</v>
      </c>
      <c r="AO280" s="83">
        <f>IFERROR(INDEX('Fee Calc'!Q:Q,MATCH(C280,'Fee Calc'!F:F,0)),0)</f>
        <v>6957.4264174660539</v>
      </c>
      <c r="AP280" s="83">
        <f t="shared" si="95"/>
        <v>119820.37801173227</v>
      </c>
      <c r="AQ280" s="70">
        <f t="shared" si="96"/>
        <v>51167.135663106055</v>
      </c>
      <c r="AR280" s="70">
        <f t="shared" si="97"/>
        <v>25583.567831553028</v>
      </c>
      <c r="AS280" s="70">
        <f t="shared" si="98"/>
        <v>25583.567831553028</v>
      </c>
    </row>
    <row r="281" spans="1:45">
      <c r="A281" s="104" t="s">
        <v>722</v>
      </c>
      <c r="B281" s="124" t="s">
        <v>722</v>
      </c>
      <c r="C281" s="31" t="s">
        <v>723</v>
      </c>
      <c r="D281" s="125" t="s">
        <v>723</v>
      </c>
      <c r="E281" s="119" t="s">
        <v>2887</v>
      </c>
      <c r="F281" s="100" t="s">
        <v>2291</v>
      </c>
      <c r="G281" s="100" t="s">
        <v>1526</v>
      </c>
      <c r="H281" s="43" t="str">
        <f t="shared" si="81"/>
        <v>Rural Lubbock</v>
      </c>
      <c r="I281" s="45">
        <f>INDEX('Fee Calc'!M:M,MATCH(C:C,'Fee Calc'!F:F,0))</f>
        <v>2396028.888717643</v>
      </c>
      <c r="J281" s="45">
        <f>INDEX('Fee Calc'!L:L,MATCH(C:C,'Fee Calc'!F:F,0))</f>
        <v>1675122.8928036222</v>
      </c>
      <c r="K281" s="45">
        <f t="shared" si="82"/>
        <v>4071151.7815212654</v>
      </c>
      <c r="L281" s="45">
        <v>524454.47</v>
      </c>
      <c r="M281" s="45">
        <v>35702.07</v>
      </c>
      <c r="N281" s="45">
        <f t="shared" si="83"/>
        <v>560156.53999999992</v>
      </c>
      <c r="O281" s="45">
        <v>-95171.969029186876</v>
      </c>
      <c r="P281" s="45">
        <v>183549.75394303561</v>
      </c>
      <c r="Q281" s="45">
        <f t="shared" si="84"/>
        <v>88377.784913848736</v>
      </c>
      <c r="R281" s="45" t="str">
        <f t="shared" si="85"/>
        <v>No</v>
      </c>
      <c r="S281" s="46" t="str">
        <f t="shared" si="85"/>
        <v>Yes</v>
      </c>
      <c r="T281" s="47">
        <f>ROUND(INDEX(Summary!H:H,MATCH(H:H,Summary!A:A,0)),2)</f>
        <v>0.49</v>
      </c>
      <c r="U281" s="47">
        <f>ROUND(INDEX(Summary!I:I,MATCH(H:H,Summary!A:A,0)),2)</f>
        <v>0.18</v>
      </c>
      <c r="V281" s="81">
        <f t="shared" si="86"/>
        <v>1174054.1554716451</v>
      </c>
      <c r="W281" s="81">
        <f t="shared" si="86"/>
        <v>301522.12070465198</v>
      </c>
      <c r="X281" s="45">
        <f t="shared" si="87"/>
        <v>1475576.2761762971</v>
      </c>
      <c r="Y281" s="45" t="s">
        <v>2752</v>
      </c>
      <c r="Z281" s="45" t="str">
        <f t="shared" si="88"/>
        <v>No</v>
      </c>
      <c r="AA281" s="45" t="str">
        <f t="shared" si="88"/>
        <v>No</v>
      </c>
      <c r="AB281" s="45" t="str">
        <f t="shared" si="89"/>
        <v>No</v>
      </c>
      <c r="AC281" s="82">
        <f t="shared" si="90"/>
        <v>0</v>
      </c>
      <c r="AD281" s="82">
        <f t="shared" si="90"/>
        <v>0</v>
      </c>
      <c r="AE281" s="45">
        <f t="shared" si="91"/>
        <v>0</v>
      </c>
      <c r="AF281" s="45">
        <f t="shared" si="91"/>
        <v>0</v>
      </c>
      <c r="AG281" s="45">
        <f t="shared" si="92"/>
        <v>0</v>
      </c>
      <c r="AH281" s="47">
        <f>IFERROR(ROUNDDOWN(INDEX('90% of ACR'!K:K,MATCH(H:H,'90% of ACR'!A:A,0))*IF(I281&gt;0,IF(O281&gt;0,$R$4*MAX(O281-V281,0),0),0)/I281,2),0)</f>
        <v>0</v>
      </c>
      <c r="AI281" s="82">
        <f>IFERROR(ROUNDDOWN(INDEX('90% of ACR'!R:R,MATCH(H:H,'90% of ACR'!A:A,0))*IF(J281&gt;0,IF(P281&gt;0,$R$4*MAX(P281-W281,0),0),0)/J281,2),0)</f>
        <v>0</v>
      </c>
      <c r="AJ281" s="45">
        <f t="shared" si="93"/>
        <v>0</v>
      </c>
      <c r="AK281" s="45">
        <f t="shared" si="93"/>
        <v>0</v>
      </c>
      <c r="AL281" s="47">
        <f t="shared" si="94"/>
        <v>0.49</v>
      </c>
      <c r="AM281" s="47">
        <f t="shared" si="94"/>
        <v>0.18</v>
      </c>
      <c r="AN281" s="83">
        <f>IFERROR(INDEX('Fee Calc'!P:P,MATCH(C281,'Fee Calc'!F:F,0)),0)</f>
        <v>1475576.2761762971</v>
      </c>
      <c r="AO281" s="83">
        <f>IFERROR(INDEX('Fee Calc'!Q:Q,MATCH(C281,'Fee Calc'!F:F,0)),0)</f>
        <v>90248.798606981218</v>
      </c>
      <c r="AP281" s="83">
        <f t="shared" si="95"/>
        <v>1565825.0747832784</v>
      </c>
      <c r="AQ281" s="70">
        <f t="shared" si="96"/>
        <v>668657.4133348529</v>
      </c>
      <c r="AR281" s="70">
        <f t="shared" si="97"/>
        <v>334328.70666742645</v>
      </c>
      <c r="AS281" s="70">
        <f t="shared" si="98"/>
        <v>334328.70666742645</v>
      </c>
    </row>
    <row r="282" spans="1:45">
      <c r="A282" s="104" t="s">
        <v>2290</v>
      </c>
      <c r="B282" s="124" t="s">
        <v>2290</v>
      </c>
      <c r="C282" s="31" t="s">
        <v>1919</v>
      </c>
      <c r="D282" s="125" t="s">
        <v>1919</v>
      </c>
      <c r="E282" s="119" t="s">
        <v>2888</v>
      </c>
      <c r="F282" s="100" t="s">
        <v>2291</v>
      </c>
      <c r="G282" s="100" t="s">
        <v>227</v>
      </c>
      <c r="H282" s="43" t="str">
        <f t="shared" si="81"/>
        <v>Rural MRSA West</v>
      </c>
      <c r="I282" s="45">
        <f>INDEX('Fee Calc'!M:M,MATCH(C:C,'Fee Calc'!F:F,0))</f>
        <v>2055090.7572139918</v>
      </c>
      <c r="J282" s="45">
        <f>INDEX('Fee Calc'!L:L,MATCH(C:C,'Fee Calc'!F:F,0))</f>
        <v>882352.00522932434</v>
      </c>
      <c r="K282" s="45">
        <f t="shared" si="82"/>
        <v>2937442.7624433162</v>
      </c>
      <c r="L282" s="45">
        <v>-14777.69</v>
      </c>
      <c r="M282" s="45">
        <v>698316.19</v>
      </c>
      <c r="N282" s="45">
        <f t="shared" si="83"/>
        <v>683538.5</v>
      </c>
      <c r="O282" s="45">
        <v>672492.39214589261</v>
      </c>
      <c r="P282" s="45">
        <v>1983971.181000283</v>
      </c>
      <c r="Q282" s="45">
        <f t="shared" si="84"/>
        <v>2656463.5731461756</v>
      </c>
      <c r="R282" s="45" t="str">
        <f t="shared" si="85"/>
        <v>Yes</v>
      </c>
      <c r="S282" s="46" t="str">
        <f t="shared" si="85"/>
        <v>Yes</v>
      </c>
      <c r="T282" s="47">
        <f>ROUND(INDEX(Summary!H:H,MATCH(H:H,Summary!A:A,0)),2)</f>
        <v>0</v>
      </c>
      <c r="U282" s="47">
        <f>ROUND(INDEX(Summary!I:I,MATCH(H:H,Summary!A:A,0)),2)</f>
        <v>0.2</v>
      </c>
      <c r="V282" s="81">
        <f t="shared" si="86"/>
        <v>0</v>
      </c>
      <c r="W282" s="81">
        <f t="shared" si="86"/>
        <v>176470.40104586488</v>
      </c>
      <c r="X282" s="45">
        <f t="shared" si="87"/>
        <v>176470.40104586488</v>
      </c>
      <c r="Y282" s="45" t="s">
        <v>2752</v>
      </c>
      <c r="Z282" s="45" t="str">
        <f t="shared" si="88"/>
        <v>No</v>
      </c>
      <c r="AA282" s="45" t="str">
        <f t="shared" si="88"/>
        <v>Yes</v>
      </c>
      <c r="AB282" s="45" t="str">
        <f t="shared" si="89"/>
        <v>Yes</v>
      </c>
      <c r="AC282" s="82">
        <f t="shared" si="90"/>
        <v>0.23</v>
      </c>
      <c r="AD282" s="82">
        <f t="shared" si="90"/>
        <v>1.43</v>
      </c>
      <c r="AE282" s="45">
        <f t="shared" si="91"/>
        <v>472670.87415921816</v>
      </c>
      <c r="AF282" s="45">
        <f t="shared" si="91"/>
        <v>1261763.3674779336</v>
      </c>
      <c r="AG282" s="45">
        <f t="shared" si="92"/>
        <v>1734434.2416371517</v>
      </c>
      <c r="AH282" s="47">
        <f>IFERROR(ROUNDDOWN(INDEX('90% of ACR'!K:K,MATCH(H:H,'90% of ACR'!A:A,0))*IF(I282&gt;0,IF(O282&gt;0,$R$4*MAX(O282-V282,0),0),0)/I282,2),0)</f>
        <v>0</v>
      </c>
      <c r="AI282" s="82">
        <f>IFERROR(ROUNDDOWN(INDEX('90% of ACR'!R:R,MATCH(H:H,'90% of ACR'!A:A,0))*IF(J282&gt;0,IF(P282&gt;0,$R$4*MAX(P282-W282,0),0),0)/J282,2),0)</f>
        <v>1.24</v>
      </c>
      <c r="AJ282" s="45">
        <f t="shared" si="93"/>
        <v>0</v>
      </c>
      <c r="AK282" s="45">
        <f t="shared" si="93"/>
        <v>1094116.4864843623</v>
      </c>
      <c r="AL282" s="47">
        <f t="shared" si="94"/>
        <v>0</v>
      </c>
      <c r="AM282" s="47">
        <f t="shared" si="94"/>
        <v>1.44</v>
      </c>
      <c r="AN282" s="83">
        <f>IFERROR(INDEX('Fee Calc'!P:P,MATCH(C282,'Fee Calc'!F:F,0)),0)</f>
        <v>1270586.887530227</v>
      </c>
      <c r="AO282" s="83">
        <f>IFERROR(INDEX('Fee Calc'!Q:Q,MATCH(C282,'Fee Calc'!F:F,0)),0)</f>
        <v>77917.588641862443</v>
      </c>
      <c r="AP282" s="83">
        <f t="shared" si="95"/>
        <v>1348504.4761720893</v>
      </c>
      <c r="AQ282" s="70">
        <f t="shared" si="96"/>
        <v>575854.5634687196</v>
      </c>
      <c r="AR282" s="70">
        <f t="shared" si="97"/>
        <v>287927.2817343598</v>
      </c>
      <c r="AS282" s="70">
        <f t="shared" si="98"/>
        <v>287927.2817343598</v>
      </c>
    </row>
    <row r="283" spans="1:45">
      <c r="A283" s="104" t="s">
        <v>944</v>
      </c>
      <c r="B283" s="124" t="s">
        <v>944</v>
      </c>
      <c r="C283" s="31" t="s">
        <v>945</v>
      </c>
      <c r="D283" s="125" t="s">
        <v>945</v>
      </c>
      <c r="E283" s="119" t="s">
        <v>2889</v>
      </c>
      <c r="F283" s="100" t="s">
        <v>2279</v>
      </c>
      <c r="G283" s="100" t="s">
        <v>227</v>
      </c>
      <c r="H283" s="43" t="str">
        <f t="shared" si="81"/>
        <v>Urban MRSA West</v>
      </c>
      <c r="I283" s="45">
        <f>INDEX('Fee Calc'!M:M,MATCH(C:C,'Fee Calc'!F:F,0))</f>
        <v>11948296.437880848</v>
      </c>
      <c r="J283" s="45">
        <f>INDEX('Fee Calc'!L:L,MATCH(C:C,'Fee Calc'!F:F,0))</f>
        <v>2278628.9368428257</v>
      </c>
      <c r="K283" s="45">
        <f t="shared" si="82"/>
        <v>14226925.374723673</v>
      </c>
      <c r="L283" s="45">
        <v>5046403.8600000003</v>
      </c>
      <c r="M283" s="45">
        <v>1690722.81</v>
      </c>
      <c r="N283" s="45">
        <f t="shared" si="83"/>
        <v>6737126.6699999999</v>
      </c>
      <c r="O283" s="45">
        <v>22280581.027956102</v>
      </c>
      <c r="P283" s="45">
        <v>3514994.6154687176</v>
      </c>
      <c r="Q283" s="45">
        <f t="shared" si="84"/>
        <v>25795575.64342482</v>
      </c>
      <c r="R283" s="45" t="str">
        <f t="shared" si="85"/>
        <v>Yes</v>
      </c>
      <c r="S283" s="46" t="str">
        <f t="shared" si="85"/>
        <v>Yes</v>
      </c>
      <c r="T283" s="47">
        <f>ROUND(INDEX(Summary!H:H,MATCH(H:H,Summary!A:A,0)),2)</f>
        <v>0.28999999999999998</v>
      </c>
      <c r="U283" s="47">
        <f>ROUND(INDEX(Summary!I:I,MATCH(H:H,Summary!A:A,0)),2)</f>
        <v>0.79</v>
      </c>
      <c r="V283" s="81">
        <f t="shared" si="86"/>
        <v>3465005.9669854455</v>
      </c>
      <c r="W283" s="81">
        <f t="shared" si="86"/>
        <v>1800116.8601058323</v>
      </c>
      <c r="X283" s="45">
        <f t="shared" si="87"/>
        <v>5265122.8270912776</v>
      </c>
      <c r="Y283" s="45" t="s">
        <v>2752</v>
      </c>
      <c r="Z283" s="45" t="str">
        <f t="shared" si="88"/>
        <v>Yes</v>
      </c>
      <c r="AA283" s="45" t="str">
        <f t="shared" si="88"/>
        <v>Yes</v>
      </c>
      <c r="AB283" s="45" t="str">
        <f t="shared" si="89"/>
        <v>Yes</v>
      </c>
      <c r="AC283" s="82">
        <f t="shared" si="90"/>
        <v>1.1000000000000001</v>
      </c>
      <c r="AD283" s="82">
        <f t="shared" si="90"/>
        <v>0.52</v>
      </c>
      <c r="AE283" s="45">
        <f t="shared" si="91"/>
        <v>13143126.081668934</v>
      </c>
      <c r="AF283" s="45">
        <f t="shared" si="91"/>
        <v>1184887.0471582694</v>
      </c>
      <c r="AG283" s="45">
        <f t="shared" si="92"/>
        <v>14328013.128827203</v>
      </c>
      <c r="AH283" s="47">
        <f>IFERROR(ROUNDDOWN(INDEX('90% of ACR'!K:K,MATCH(H:H,'90% of ACR'!A:A,0))*IF(I283&gt;0,IF(O283&gt;0,$R$4*MAX(O283-V283,0),0),0)/I283,2),0)</f>
        <v>1.0900000000000001</v>
      </c>
      <c r="AI283" s="82">
        <f>IFERROR(ROUNDDOWN(INDEX('90% of ACR'!R:R,MATCH(H:H,'90% of ACR'!A:A,0))*IF(J283&gt;0,IF(P283&gt;0,$R$4*MAX(P283-W283,0),0),0)/J283,2),0)</f>
        <v>0.19</v>
      </c>
      <c r="AJ283" s="45">
        <f t="shared" si="93"/>
        <v>13023643.117290124</v>
      </c>
      <c r="AK283" s="45">
        <f t="shared" si="93"/>
        <v>432939.49800013687</v>
      </c>
      <c r="AL283" s="47">
        <f t="shared" si="94"/>
        <v>1.3800000000000001</v>
      </c>
      <c r="AM283" s="47">
        <f t="shared" si="94"/>
        <v>0.98</v>
      </c>
      <c r="AN283" s="83">
        <f>IFERROR(INDEX('Fee Calc'!P:P,MATCH(C283,'Fee Calc'!F:F,0)),0)</f>
        <v>18721705.442381542</v>
      </c>
      <c r="AO283" s="83">
        <f>IFERROR(INDEX('Fee Calc'!Q:Q,MATCH(C283,'Fee Calc'!F:F,0)),0)</f>
        <v>1145212.7198912199</v>
      </c>
      <c r="AP283" s="83">
        <f t="shared" si="95"/>
        <v>19866918.162272763</v>
      </c>
      <c r="AQ283" s="70">
        <f t="shared" si="96"/>
        <v>8483809.7966716625</v>
      </c>
      <c r="AR283" s="70">
        <f t="shared" si="97"/>
        <v>4241904.8983358312</v>
      </c>
      <c r="AS283" s="70">
        <f t="shared" si="98"/>
        <v>4241904.8983358312</v>
      </c>
    </row>
    <row r="284" spans="1:45">
      <c r="A284" s="104" t="s">
        <v>1134</v>
      </c>
      <c r="B284" s="124" t="s">
        <v>1134</v>
      </c>
      <c r="C284" s="31" t="s">
        <v>1135</v>
      </c>
      <c r="D284" s="125" t="s">
        <v>1135</v>
      </c>
      <c r="E284" s="119" t="s">
        <v>2890</v>
      </c>
      <c r="F284" s="100" t="s">
        <v>2279</v>
      </c>
      <c r="G284" s="100" t="s">
        <v>1550</v>
      </c>
      <c r="H284" s="43" t="str">
        <f t="shared" si="81"/>
        <v>Urban Jefferson</v>
      </c>
      <c r="I284" s="45">
        <f>INDEX('Fee Calc'!M:M,MATCH(C:C,'Fee Calc'!F:F,0))</f>
        <v>6241952.4384510713</v>
      </c>
      <c r="J284" s="45">
        <f>INDEX('Fee Calc'!L:L,MATCH(C:C,'Fee Calc'!F:F,0))</f>
        <v>3296330.2617841898</v>
      </c>
      <c r="K284" s="45">
        <f t="shared" si="82"/>
        <v>9538282.7002352607</v>
      </c>
      <c r="L284" s="45">
        <v>3761394.76</v>
      </c>
      <c r="M284" s="45">
        <v>1687066.38</v>
      </c>
      <c r="N284" s="45">
        <f t="shared" si="83"/>
        <v>5448461.1399999997</v>
      </c>
      <c r="O284" s="45">
        <v>7598718.3234461565</v>
      </c>
      <c r="P284" s="45">
        <v>3388493.8024018807</v>
      </c>
      <c r="Q284" s="45">
        <f t="shared" si="84"/>
        <v>10987212.125848036</v>
      </c>
      <c r="R284" s="45" t="str">
        <f t="shared" si="85"/>
        <v>Yes</v>
      </c>
      <c r="S284" s="46" t="str">
        <f t="shared" si="85"/>
        <v>Yes</v>
      </c>
      <c r="T284" s="47">
        <f>ROUND(INDEX(Summary!H:H,MATCH(H:H,Summary!A:A,0)),2)</f>
        <v>0.72</v>
      </c>
      <c r="U284" s="47">
        <f>ROUND(INDEX(Summary!I:I,MATCH(H:H,Summary!A:A,0)),2)</f>
        <v>0.85</v>
      </c>
      <c r="V284" s="81">
        <f t="shared" si="86"/>
        <v>4494205.7556847716</v>
      </c>
      <c r="W284" s="81">
        <f t="shared" si="86"/>
        <v>2801880.7225165614</v>
      </c>
      <c r="X284" s="45">
        <f t="shared" si="87"/>
        <v>7296086.4782013334</v>
      </c>
      <c r="Y284" s="45" t="s">
        <v>2752</v>
      </c>
      <c r="Z284" s="45" t="str">
        <f t="shared" si="88"/>
        <v>Yes</v>
      </c>
      <c r="AA284" s="45" t="str">
        <f t="shared" si="88"/>
        <v>Yes</v>
      </c>
      <c r="AB284" s="45" t="str">
        <f t="shared" si="89"/>
        <v>Yes</v>
      </c>
      <c r="AC284" s="82">
        <f t="shared" si="90"/>
        <v>0.35</v>
      </c>
      <c r="AD284" s="82">
        <f t="shared" si="90"/>
        <v>0.12</v>
      </c>
      <c r="AE284" s="45">
        <f t="shared" si="91"/>
        <v>2184683.3534578746</v>
      </c>
      <c r="AF284" s="45">
        <f t="shared" si="91"/>
        <v>395559.63141410274</v>
      </c>
      <c r="AG284" s="45">
        <f t="shared" si="92"/>
        <v>2580242.9848719775</v>
      </c>
      <c r="AH284" s="47">
        <f>IFERROR(ROUNDDOWN(INDEX('90% of ACR'!K:K,MATCH(H:H,'90% of ACR'!A:A,0))*IF(I284&gt;0,IF(O284&gt;0,$R$4*MAX(O284-V284,0),0),0)/I284,2),0)</f>
        <v>0.34</v>
      </c>
      <c r="AI284" s="82">
        <f>IFERROR(ROUNDDOWN(INDEX('90% of ACR'!R:R,MATCH(H:H,'90% of ACR'!A:A,0))*IF(J284&gt;0,IF(P284&gt;0,$R$4*MAX(P284-W284,0),0),0)/J284,2),0)</f>
        <v>0.1</v>
      </c>
      <c r="AJ284" s="45">
        <f t="shared" si="93"/>
        <v>2122263.8290733644</v>
      </c>
      <c r="AK284" s="45">
        <f t="shared" si="93"/>
        <v>329633.02617841901</v>
      </c>
      <c r="AL284" s="47">
        <f t="shared" si="94"/>
        <v>1.06</v>
      </c>
      <c r="AM284" s="47">
        <f t="shared" si="94"/>
        <v>0.95</v>
      </c>
      <c r="AN284" s="83">
        <f>IFERROR(INDEX('Fee Calc'!P:P,MATCH(C284,'Fee Calc'!F:F,0)),0)</f>
        <v>9747983.3334531151</v>
      </c>
      <c r="AO284" s="83">
        <f>IFERROR(INDEX('Fee Calc'!Q:Q,MATCH(C284,'Fee Calc'!F:F,0)),0)</f>
        <v>601596.68686034996</v>
      </c>
      <c r="AP284" s="83">
        <f t="shared" si="95"/>
        <v>10349580.020313464</v>
      </c>
      <c r="AQ284" s="70">
        <f t="shared" si="96"/>
        <v>4419601.8552344991</v>
      </c>
      <c r="AR284" s="70">
        <f t="shared" si="97"/>
        <v>2209800.9276172495</v>
      </c>
      <c r="AS284" s="70">
        <f t="shared" si="98"/>
        <v>2209800.9276172495</v>
      </c>
    </row>
    <row r="285" spans="1:45">
      <c r="A285" s="104" t="s">
        <v>536</v>
      </c>
      <c r="B285" s="124" t="s">
        <v>536</v>
      </c>
      <c r="C285" s="31" t="s">
        <v>537</v>
      </c>
      <c r="D285" s="125" t="s">
        <v>537</v>
      </c>
      <c r="E285" s="119" t="s">
        <v>2891</v>
      </c>
      <c r="F285" s="100" t="s">
        <v>2279</v>
      </c>
      <c r="G285" s="100" t="s">
        <v>310</v>
      </c>
      <c r="H285" s="43" t="str">
        <f t="shared" si="81"/>
        <v>Urban MRSA Northeast</v>
      </c>
      <c r="I285" s="45">
        <f>INDEX('Fee Calc'!M:M,MATCH(C:C,'Fee Calc'!F:F,0))</f>
        <v>2477222.7054410963</v>
      </c>
      <c r="J285" s="45">
        <f>INDEX('Fee Calc'!L:L,MATCH(C:C,'Fee Calc'!F:F,0))</f>
        <v>1265427.4396448375</v>
      </c>
      <c r="K285" s="45">
        <f t="shared" si="82"/>
        <v>3742650.1450859336</v>
      </c>
      <c r="L285" s="45">
        <v>1829164.88</v>
      </c>
      <c r="M285" s="45">
        <v>931973.79</v>
      </c>
      <c r="N285" s="45">
        <f t="shared" si="83"/>
        <v>2761138.67</v>
      </c>
      <c r="O285" s="45">
        <v>3677805.5453813337</v>
      </c>
      <c r="P285" s="45">
        <v>1067947.9999491947</v>
      </c>
      <c r="Q285" s="45">
        <f t="shared" si="84"/>
        <v>4745753.5453305282</v>
      </c>
      <c r="R285" s="45" t="str">
        <f t="shared" si="85"/>
        <v>Yes</v>
      </c>
      <c r="S285" s="46" t="str">
        <f t="shared" si="85"/>
        <v>Yes</v>
      </c>
      <c r="T285" s="47">
        <f>ROUND(INDEX(Summary!H:H,MATCH(H:H,Summary!A:A,0)),2)</f>
        <v>0.6</v>
      </c>
      <c r="U285" s="47">
        <f>ROUND(INDEX(Summary!I:I,MATCH(H:H,Summary!A:A,0)),2)</f>
        <v>0.99</v>
      </c>
      <c r="V285" s="81">
        <f t="shared" si="86"/>
        <v>1486333.6232646578</v>
      </c>
      <c r="W285" s="81">
        <f t="shared" si="86"/>
        <v>1252773.1652483891</v>
      </c>
      <c r="X285" s="45">
        <f t="shared" si="87"/>
        <v>2739106.7885130467</v>
      </c>
      <c r="Y285" s="45" t="s">
        <v>2752</v>
      </c>
      <c r="Z285" s="45" t="str">
        <f t="shared" si="88"/>
        <v>Yes</v>
      </c>
      <c r="AA285" s="45" t="str">
        <f t="shared" si="88"/>
        <v>No</v>
      </c>
      <c r="AB285" s="45" t="str">
        <f t="shared" si="89"/>
        <v>Yes</v>
      </c>
      <c r="AC285" s="82">
        <f t="shared" si="90"/>
        <v>0.62</v>
      </c>
      <c r="AD285" s="82">
        <f t="shared" si="90"/>
        <v>0</v>
      </c>
      <c r="AE285" s="45">
        <f t="shared" si="91"/>
        <v>1535878.0773734797</v>
      </c>
      <c r="AF285" s="45">
        <f t="shared" si="91"/>
        <v>0</v>
      </c>
      <c r="AG285" s="45">
        <f t="shared" si="92"/>
        <v>1535878.0773734797</v>
      </c>
      <c r="AH285" s="47">
        <f>IFERROR(ROUNDDOWN(INDEX('90% of ACR'!K:K,MATCH(H:H,'90% of ACR'!A:A,0))*IF(I285&gt;0,IF(O285&gt;0,$R$4*MAX(O285-V285,0),0),0)/I285,2),0)</f>
        <v>0.61</v>
      </c>
      <c r="AI285" s="82">
        <f>IFERROR(ROUNDDOWN(INDEX('90% of ACR'!R:R,MATCH(H:H,'90% of ACR'!A:A,0))*IF(J285&gt;0,IF(P285&gt;0,$R$4*MAX(P285-W285,0),0),0)/J285,2),0)</f>
        <v>0</v>
      </c>
      <c r="AJ285" s="45">
        <f t="shared" si="93"/>
        <v>1511105.8503190686</v>
      </c>
      <c r="AK285" s="45">
        <f t="shared" si="93"/>
        <v>0</v>
      </c>
      <c r="AL285" s="47">
        <f t="shared" si="94"/>
        <v>1.21</v>
      </c>
      <c r="AM285" s="47">
        <f t="shared" si="94"/>
        <v>0.99</v>
      </c>
      <c r="AN285" s="83">
        <f>IFERROR(INDEX('Fee Calc'!P:P,MATCH(C285,'Fee Calc'!F:F,0)),0)</f>
        <v>4250212.6388321156</v>
      </c>
      <c r="AO285" s="83">
        <f>IFERROR(INDEX('Fee Calc'!Q:Q,MATCH(C285,'Fee Calc'!F:F,0)),0)</f>
        <v>263238.01077394432</v>
      </c>
      <c r="AP285" s="83">
        <f t="shared" si="95"/>
        <v>4513450.6496060602</v>
      </c>
      <c r="AQ285" s="70">
        <f t="shared" si="96"/>
        <v>1927387.857802575</v>
      </c>
      <c r="AR285" s="70">
        <f t="shared" si="97"/>
        <v>963693.92890128749</v>
      </c>
      <c r="AS285" s="70">
        <f t="shared" si="98"/>
        <v>963693.92890128749</v>
      </c>
    </row>
    <row r="286" spans="1:45">
      <c r="A286" s="104" t="s">
        <v>825</v>
      </c>
      <c r="B286" s="124" t="s">
        <v>825</v>
      </c>
      <c r="C286" s="31" t="s">
        <v>826</v>
      </c>
      <c r="D286" s="125" t="s">
        <v>826</v>
      </c>
      <c r="E286" s="119" t="s">
        <v>2690</v>
      </c>
      <c r="F286" s="100" t="s">
        <v>2291</v>
      </c>
      <c r="G286" s="100" t="s">
        <v>227</v>
      </c>
      <c r="H286" s="43" t="str">
        <f t="shared" si="81"/>
        <v>Rural MRSA West</v>
      </c>
      <c r="I286" s="45">
        <f>INDEX('Fee Calc'!M:M,MATCH(C:C,'Fee Calc'!F:F,0))</f>
        <v>12644.969702369579</v>
      </c>
      <c r="J286" s="45">
        <f>INDEX('Fee Calc'!L:L,MATCH(C:C,'Fee Calc'!F:F,0))</f>
        <v>150639.87320860673</v>
      </c>
      <c r="K286" s="45">
        <f t="shared" si="82"/>
        <v>163284.84291097632</v>
      </c>
      <c r="L286" s="45">
        <v>106294.49</v>
      </c>
      <c r="M286" s="45">
        <v>13600.47</v>
      </c>
      <c r="N286" s="45">
        <f t="shared" si="83"/>
        <v>119894.96</v>
      </c>
      <c r="O286" s="45">
        <v>17461.107729692005</v>
      </c>
      <c r="P286" s="45">
        <v>-1922.0890862621454</v>
      </c>
      <c r="Q286" s="45">
        <f t="shared" si="84"/>
        <v>15539.018643429859</v>
      </c>
      <c r="R286" s="45" t="str">
        <f t="shared" si="85"/>
        <v>Yes</v>
      </c>
      <c r="S286" s="46" t="str">
        <f t="shared" si="85"/>
        <v>No</v>
      </c>
      <c r="T286" s="47">
        <f>ROUND(INDEX(Summary!H:H,MATCH(H:H,Summary!A:A,0)),2)</f>
        <v>0</v>
      </c>
      <c r="U286" s="47">
        <f>ROUND(INDEX(Summary!I:I,MATCH(H:H,Summary!A:A,0)),2)</f>
        <v>0.2</v>
      </c>
      <c r="V286" s="81">
        <f t="shared" si="86"/>
        <v>0</v>
      </c>
      <c r="W286" s="81">
        <f t="shared" si="86"/>
        <v>30127.974641721346</v>
      </c>
      <c r="X286" s="45">
        <f t="shared" si="87"/>
        <v>30127.974641721346</v>
      </c>
      <c r="Y286" s="45" t="s">
        <v>2752</v>
      </c>
      <c r="Z286" s="45" t="str">
        <f t="shared" si="88"/>
        <v>No</v>
      </c>
      <c r="AA286" s="45" t="str">
        <f t="shared" si="88"/>
        <v>No</v>
      </c>
      <c r="AB286" s="45" t="str">
        <f t="shared" si="89"/>
        <v>Yes</v>
      </c>
      <c r="AC286" s="82">
        <f t="shared" si="90"/>
        <v>0.96</v>
      </c>
      <c r="AD286" s="82">
        <f t="shared" si="90"/>
        <v>0</v>
      </c>
      <c r="AE286" s="45">
        <f t="shared" si="91"/>
        <v>12139.170914274795</v>
      </c>
      <c r="AF286" s="45">
        <f t="shared" si="91"/>
        <v>0</v>
      </c>
      <c r="AG286" s="45">
        <f t="shared" si="92"/>
        <v>12139.170914274795</v>
      </c>
      <c r="AH286" s="47">
        <f>IFERROR(ROUNDDOWN(INDEX('90% of ACR'!K:K,MATCH(H:H,'90% of ACR'!A:A,0))*IF(I286&gt;0,IF(O286&gt;0,$R$4*MAX(O286-V286,0),0),0)/I286,2),0)</f>
        <v>0</v>
      </c>
      <c r="AI286" s="82">
        <f>IFERROR(ROUNDDOWN(INDEX('90% of ACR'!R:R,MATCH(H:H,'90% of ACR'!A:A,0))*IF(J286&gt;0,IF(P286&gt;0,$R$4*MAX(P286-W286,0),0),0)/J286,2),0)</f>
        <v>0</v>
      </c>
      <c r="AJ286" s="45">
        <f t="shared" si="93"/>
        <v>0</v>
      </c>
      <c r="AK286" s="45">
        <f t="shared" si="93"/>
        <v>0</v>
      </c>
      <c r="AL286" s="47">
        <f t="shared" si="94"/>
        <v>0</v>
      </c>
      <c r="AM286" s="47">
        <f t="shared" si="94"/>
        <v>0.2</v>
      </c>
      <c r="AN286" s="83">
        <f>IFERROR(INDEX('Fee Calc'!P:P,MATCH(C286,'Fee Calc'!F:F,0)),0)</f>
        <v>30127.974641721346</v>
      </c>
      <c r="AO286" s="83">
        <f>IFERROR(INDEX('Fee Calc'!Q:Q,MATCH(C286,'Fee Calc'!F:F,0)),0)</f>
        <v>1849.3475609954185</v>
      </c>
      <c r="AP286" s="83">
        <f t="shared" si="95"/>
        <v>31977.322202716765</v>
      </c>
      <c r="AQ286" s="70">
        <f t="shared" si="96"/>
        <v>13655.339854870545</v>
      </c>
      <c r="AR286" s="70">
        <f t="shared" si="97"/>
        <v>6827.6699274352723</v>
      </c>
      <c r="AS286" s="70">
        <f t="shared" si="98"/>
        <v>6827.6699274352723</v>
      </c>
    </row>
    <row r="287" spans="1:45">
      <c r="A287" s="104" t="s">
        <v>932</v>
      </c>
      <c r="B287" s="124" t="s">
        <v>932</v>
      </c>
      <c r="C287" s="31" t="s">
        <v>933</v>
      </c>
      <c r="D287" s="125" t="s">
        <v>933</v>
      </c>
      <c r="E287" s="119" t="s">
        <v>2570</v>
      </c>
      <c r="F287" s="100" t="s">
        <v>2291</v>
      </c>
      <c r="G287" s="100" t="s">
        <v>227</v>
      </c>
      <c r="H287" s="43" t="str">
        <f t="shared" si="81"/>
        <v>Rural MRSA West</v>
      </c>
      <c r="I287" s="45">
        <f>INDEX('Fee Calc'!M:M,MATCH(C:C,'Fee Calc'!F:F,0))</f>
        <v>7916.8863366248743</v>
      </c>
      <c r="J287" s="45">
        <f>INDEX('Fee Calc'!L:L,MATCH(C:C,'Fee Calc'!F:F,0))</f>
        <v>96773.859829834575</v>
      </c>
      <c r="K287" s="45">
        <f t="shared" si="82"/>
        <v>104690.74616645944</v>
      </c>
      <c r="L287" s="45">
        <v>-1489.46</v>
      </c>
      <c r="M287" s="45">
        <v>27516.720000000001</v>
      </c>
      <c r="N287" s="45">
        <f t="shared" si="83"/>
        <v>26027.260000000002</v>
      </c>
      <c r="O287" s="45">
        <v>-2609.1718389773573</v>
      </c>
      <c r="P287" s="45">
        <v>23145.288143686696</v>
      </c>
      <c r="Q287" s="45">
        <f t="shared" si="84"/>
        <v>20536.11630470934</v>
      </c>
      <c r="R287" s="45" t="str">
        <f t="shared" si="85"/>
        <v>No</v>
      </c>
      <c r="S287" s="46" t="str">
        <f t="shared" si="85"/>
        <v>Yes</v>
      </c>
      <c r="T287" s="47">
        <f>ROUND(INDEX(Summary!H:H,MATCH(H:H,Summary!A:A,0)),2)</f>
        <v>0</v>
      </c>
      <c r="U287" s="47">
        <f>ROUND(INDEX(Summary!I:I,MATCH(H:H,Summary!A:A,0)),2)</f>
        <v>0.2</v>
      </c>
      <c r="V287" s="81">
        <f t="shared" si="86"/>
        <v>0</v>
      </c>
      <c r="W287" s="81">
        <f t="shared" si="86"/>
        <v>19354.771965966916</v>
      </c>
      <c r="X287" s="45">
        <f t="shared" si="87"/>
        <v>19354.771965966916</v>
      </c>
      <c r="Y287" s="45" t="s">
        <v>2752</v>
      </c>
      <c r="Z287" s="45" t="str">
        <f t="shared" si="88"/>
        <v>No</v>
      </c>
      <c r="AA287" s="45" t="str">
        <f t="shared" si="88"/>
        <v>Yes</v>
      </c>
      <c r="AB287" s="45" t="str">
        <f t="shared" si="89"/>
        <v>Yes</v>
      </c>
      <c r="AC287" s="82">
        <f t="shared" si="90"/>
        <v>0</v>
      </c>
      <c r="AD287" s="82">
        <f t="shared" si="90"/>
        <v>0.03</v>
      </c>
      <c r="AE287" s="45">
        <f t="shared" si="91"/>
        <v>0</v>
      </c>
      <c r="AF287" s="45">
        <f t="shared" si="91"/>
        <v>2903.2157948950371</v>
      </c>
      <c r="AG287" s="45">
        <f t="shared" si="92"/>
        <v>2903.2157948950371</v>
      </c>
      <c r="AH287" s="47">
        <f>IFERROR(ROUNDDOWN(INDEX('90% of ACR'!K:K,MATCH(H:H,'90% of ACR'!A:A,0))*IF(I287&gt;0,IF(O287&gt;0,$R$4*MAX(O287-V287,0),0),0)/I287,2),0)</f>
        <v>0</v>
      </c>
      <c r="AI287" s="82">
        <f>IFERROR(ROUNDDOWN(INDEX('90% of ACR'!R:R,MATCH(H:H,'90% of ACR'!A:A,0))*IF(J287&gt;0,IF(P287&gt;0,$R$4*MAX(P287-W287,0),0),0)/J287,2),0)</f>
        <v>0.02</v>
      </c>
      <c r="AJ287" s="45">
        <f t="shared" si="93"/>
        <v>0</v>
      </c>
      <c r="AK287" s="45">
        <f t="shared" si="93"/>
        <v>1935.4771965966916</v>
      </c>
      <c r="AL287" s="47">
        <f t="shared" si="94"/>
        <v>0</v>
      </c>
      <c r="AM287" s="47">
        <f t="shared" si="94"/>
        <v>0.22</v>
      </c>
      <c r="AN287" s="83">
        <f>IFERROR(INDEX('Fee Calc'!P:P,MATCH(C287,'Fee Calc'!F:F,0)),0)</f>
        <v>21290.249162563607</v>
      </c>
      <c r="AO287" s="83">
        <f>IFERROR(INDEX('Fee Calc'!Q:Q,MATCH(C287,'Fee Calc'!F:F,0)),0)</f>
        <v>1301.31668232524</v>
      </c>
      <c r="AP287" s="83">
        <f t="shared" si="95"/>
        <v>22591.565844888846</v>
      </c>
      <c r="AQ287" s="70">
        <f t="shared" si="96"/>
        <v>9647.3215458745744</v>
      </c>
      <c r="AR287" s="70">
        <f t="shared" si="97"/>
        <v>4823.6607729372872</v>
      </c>
      <c r="AS287" s="70">
        <f t="shared" si="98"/>
        <v>4823.6607729372872</v>
      </c>
    </row>
    <row r="288" spans="1:45">
      <c r="A288" s="104" t="s">
        <v>497</v>
      </c>
      <c r="B288" s="124" t="s">
        <v>497</v>
      </c>
      <c r="C288" s="31" t="s">
        <v>498</v>
      </c>
      <c r="D288" s="125" t="s">
        <v>498</v>
      </c>
      <c r="E288" s="119" t="s">
        <v>2892</v>
      </c>
      <c r="F288" s="100" t="s">
        <v>2291</v>
      </c>
      <c r="G288" s="100" t="s">
        <v>227</v>
      </c>
      <c r="H288" s="43" t="str">
        <f t="shared" si="81"/>
        <v>Rural MRSA West</v>
      </c>
      <c r="I288" s="45">
        <f>INDEX('Fee Calc'!M:M,MATCH(C:C,'Fee Calc'!F:F,0))</f>
        <v>2108909.6764800786</v>
      </c>
      <c r="J288" s="45">
        <f>INDEX('Fee Calc'!L:L,MATCH(C:C,'Fee Calc'!F:F,0))</f>
        <v>1115016.9057124399</v>
      </c>
      <c r="K288" s="45">
        <f t="shared" si="82"/>
        <v>3223926.5821925187</v>
      </c>
      <c r="L288" s="45">
        <v>321428.59999999998</v>
      </c>
      <c r="M288" s="45">
        <v>73327.94</v>
      </c>
      <c r="N288" s="45">
        <f t="shared" si="83"/>
        <v>394756.54</v>
      </c>
      <c r="O288" s="45">
        <v>-593485.21180485864</v>
      </c>
      <c r="P288" s="45">
        <v>105937.55016672931</v>
      </c>
      <c r="Q288" s="45">
        <f t="shared" si="84"/>
        <v>-487547.66163812933</v>
      </c>
      <c r="R288" s="45" t="str">
        <f t="shared" si="85"/>
        <v>No</v>
      </c>
      <c r="S288" s="46" t="str">
        <f t="shared" si="85"/>
        <v>Yes</v>
      </c>
      <c r="T288" s="47">
        <f>ROUND(INDEX(Summary!H:H,MATCH(H:H,Summary!A:A,0)),2)</f>
        <v>0</v>
      </c>
      <c r="U288" s="47">
        <f>ROUND(INDEX(Summary!I:I,MATCH(H:H,Summary!A:A,0)),2)</f>
        <v>0.2</v>
      </c>
      <c r="V288" s="81">
        <f t="shared" si="86"/>
        <v>0</v>
      </c>
      <c r="W288" s="81">
        <f t="shared" si="86"/>
        <v>223003.38114248798</v>
      </c>
      <c r="X288" s="45">
        <f t="shared" si="87"/>
        <v>223003.38114248798</v>
      </c>
      <c r="Y288" s="45" t="s">
        <v>2752</v>
      </c>
      <c r="Z288" s="45" t="str">
        <f t="shared" si="88"/>
        <v>No</v>
      </c>
      <c r="AA288" s="45" t="str">
        <f t="shared" si="88"/>
        <v>No</v>
      </c>
      <c r="AB288" s="45" t="str">
        <f t="shared" si="89"/>
        <v>No</v>
      </c>
      <c r="AC288" s="82">
        <f t="shared" si="90"/>
        <v>0</v>
      </c>
      <c r="AD288" s="82">
        <f t="shared" si="90"/>
        <v>0</v>
      </c>
      <c r="AE288" s="45">
        <f t="shared" si="91"/>
        <v>0</v>
      </c>
      <c r="AF288" s="45">
        <f t="shared" si="91"/>
        <v>0</v>
      </c>
      <c r="AG288" s="45">
        <f t="shared" si="92"/>
        <v>0</v>
      </c>
      <c r="AH288" s="47">
        <f>IFERROR(ROUNDDOWN(INDEX('90% of ACR'!K:K,MATCH(H:H,'90% of ACR'!A:A,0))*IF(I288&gt;0,IF(O288&gt;0,$R$4*MAX(O288-V288,0),0),0)/I288,2),0)</f>
        <v>0</v>
      </c>
      <c r="AI288" s="82">
        <f>IFERROR(ROUNDDOWN(INDEX('90% of ACR'!R:R,MATCH(H:H,'90% of ACR'!A:A,0))*IF(J288&gt;0,IF(P288&gt;0,$R$4*MAX(P288-W288,0),0),0)/J288,2),0)</f>
        <v>0</v>
      </c>
      <c r="AJ288" s="45">
        <f t="shared" si="93"/>
        <v>0</v>
      </c>
      <c r="AK288" s="45">
        <f t="shared" si="93"/>
        <v>0</v>
      </c>
      <c r="AL288" s="47">
        <f t="shared" si="94"/>
        <v>0</v>
      </c>
      <c r="AM288" s="47">
        <f t="shared" si="94"/>
        <v>0.2</v>
      </c>
      <c r="AN288" s="83">
        <f>IFERROR(INDEX('Fee Calc'!P:P,MATCH(C288,'Fee Calc'!F:F,0)),0)</f>
        <v>223003.38114248798</v>
      </c>
      <c r="AO288" s="83">
        <f>IFERROR(INDEX('Fee Calc'!Q:Q,MATCH(C288,'Fee Calc'!F:F,0)),0)</f>
        <v>13664.470451844907</v>
      </c>
      <c r="AP288" s="83">
        <f t="shared" si="95"/>
        <v>236667.8515943329</v>
      </c>
      <c r="AQ288" s="70">
        <f t="shared" si="96"/>
        <v>101064.74600203117</v>
      </c>
      <c r="AR288" s="70">
        <f t="shared" si="97"/>
        <v>50532.373001015585</v>
      </c>
      <c r="AS288" s="70">
        <f t="shared" si="98"/>
        <v>50532.373001015585</v>
      </c>
    </row>
    <row r="289" spans="1:45" ht="25.5">
      <c r="A289" s="104" t="s">
        <v>488</v>
      </c>
      <c r="B289" s="124" t="s">
        <v>488</v>
      </c>
      <c r="C289" s="31" t="s">
        <v>489</v>
      </c>
      <c r="D289" s="125" t="s">
        <v>489</v>
      </c>
      <c r="E289" s="119" t="s">
        <v>2893</v>
      </c>
      <c r="F289" s="100" t="s">
        <v>2529</v>
      </c>
      <c r="G289" s="100" t="s">
        <v>300</v>
      </c>
      <c r="H289" s="43" t="str">
        <f t="shared" si="81"/>
        <v>Non-state-owned IMD Harris</v>
      </c>
      <c r="I289" s="45">
        <f>INDEX('Fee Calc'!M:M,MATCH(C:C,'Fee Calc'!F:F,0))</f>
        <v>1615316.423902988</v>
      </c>
      <c r="J289" s="45">
        <f>INDEX('Fee Calc'!L:L,MATCH(C:C,'Fee Calc'!F:F,0))</f>
        <v>0</v>
      </c>
      <c r="K289" s="45">
        <f t="shared" si="82"/>
        <v>1615316.423902988</v>
      </c>
      <c r="L289" s="45">
        <v>426367.65</v>
      </c>
      <c r="M289" s="45">
        <v>0</v>
      </c>
      <c r="N289" s="45">
        <f t="shared" si="83"/>
        <v>426367.65</v>
      </c>
      <c r="O289" s="45">
        <v>206741.57107179263</v>
      </c>
      <c r="P289" s="45">
        <v>0</v>
      </c>
      <c r="Q289" s="45">
        <f t="shared" si="84"/>
        <v>206741.57107179263</v>
      </c>
      <c r="R289" s="45" t="str">
        <f t="shared" si="85"/>
        <v>Yes</v>
      </c>
      <c r="S289" s="46" t="str">
        <f t="shared" si="85"/>
        <v>No</v>
      </c>
      <c r="T289" s="47">
        <f>ROUND(INDEX(Summary!H:H,MATCH(H:H,Summary!A:A,0)),2)</f>
        <v>0.24</v>
      </c>
      <c r="U289" s="47">
        <f>ROUND(INDEX(Summary!I:I,MATCH(H:H,Summary!A:A,0)),2)</f>
        <v>0</v>
      </c>
      <c r="V289" s="81">
        <f t="shared" si="86"/>
        <v>387675.94173671713</v>
      </c>
      <c r="W289" s="81">
        <f t="shared" si="86"/>
        <v>0</v>
      </c>
      <c r="X289" s="45">
        <f t="shared" si="87"/>
        <v>387675.94173671713</v>
      </c>
      <c r="Y289" s="45" t="s">
        <v>2752</v>
      </c>
      <c r="Z289" s="45" t="str">
        <f t="shared" si="88"/>
        <v>No</v>
      </c>
      <c r="AA289" s="45" t="str">
        <f t="shared" si="88"/>
        <v>No</v>
      </c>
      <c r="AB289" s="45" t="str">
        <f t="shared" si="89"/>
        <v>No</v>
      </c>
      <c r="AC289" s="82">
        <f t="shared" si="90"/>
        <v>0</v>
      </c>
      <c r="AD289" s="82">
        <f t="shared" si="90"/>
        <v>0</v>
      </c>
      <c r="AE289" s="45">
        <f t="shared" si="91"/>
        <v>0</v>
      </c>
      <c r="AF289" s="45">
        <f t="shared" si="91"/>
        <v>0</v>
      </c>
      <c r="AG289" s="45">
        <f t="shared" si="92"/>
        <v>0</v>
      </c>
      <c r="AH289" s="47">
        <f>IFERROR(ROUNDDOWN(INDEX('90% of ACR'!K:K,MATCH(H:H,'90% of ACR'!A:A,0))*IF(I289&gt;0,IF(O289&gt;0,$R$4*MAX(O289-V289,0),0),0)/I289,2),0)</f>
        <v>0</v>
      </c>
      <c r="AI289" s="82">
        <f>IFERROR(ROUNDDOWN(INDEX('90% of ACR'!R:R,MATCH(H:H,'90% of ACR'!A:A,0))*IF(J289&gt;0,IF(P289&gt;0,$R$4*MAX(P289-W289,0),0),0)/J289,2),0)</f>
        <v>0</v>
      </c>
      <c r="AJ289" s="45">
        <f t="shared" si="93"/>
        <v>0</v>
      </c>
      <c r="AK289" s="45">
        <f t="shared" si="93"/>
        <v>0</v>
      </c>
      <c r="AL289" s="47">
        <f t="shared" si="94"/>
        <v>0.24</v>
      </c>
      <c r="AM289" s="47">
        <f t="shared" si="94"/>
        <v>0</v>
      </c>
      <c r="AN289" s="83">
        <f>IFERROR(INDEX('Fee Calc'!P:P,MATCH(C289,'Fee Calc'!F:F,0)),0)</f>
        <v>387675.94173671713</v>
      </c>
      <c r="AO289" s="83">
        <f>IFERROR(INDEX('Fee Calc'!Q:Q,MATCH(C289,'Fee Calc'!F:F,0)),0)</f>
        <v>23651.317400383272</v>
      </c>
      <c r="AP289" s="83">
        <f t="shared" si="95"/>
        <v>411327.25913710042</v>
      </c>
      <c r="AQ289" s="70">
        <f t="shared" si="96"/>
        <v>175649.90212383427</v>
      </c>
      <c r="AR289" s="70">
        <f t="shared" si="97"/>
        <v>87824.951061917134</v>
      </c>
      <c r="AS289" s="70">
        <f t="shared" si="98"/>
        <v>87824.951061917134</v>
      </c>
    </row>
    <row r="290" spans="1:45" ht="25.5">
      <c r="A290" s="104" t="s">
        <v>465</v>
      </c>
      <c r="B290" s="124" t="s">
        <v>465</v>
      </c>
      <c r="C290" s="31" t="s">
        <v>466</v>
      </c>
      <c r="D290" s="125" t="s">
        <v>466</v>
      </c>
      <c r="E290" s="119" t="s">
        <v>2674</v>
      </c>
      <c r="F290" s="100" t="s">
        <v>2949</v>
      </c>
      <c r="G290" s="100" t="s">
        <v>223</v>
      </c>
      <c r="H290" s="43" t="str">
        <f t="shared" si="81"/>
        <v>State-owned non-IMD Dallas</v>
      </c>
      <c r="I290" s="45">
        <f>INDEX('Fee Calc'!M:M,MATCH(C:C,'Fee Calc'!F:F,0))</f>
        <v>16813507.423815403</v>
      </c>
      <c r="J290" s="45">
        <f>INDEX('Fee Calc'!L:L,MATCH(C:C,'Fee Calc'!F:F,0))</f>
        <v>4896678.5875008479</v>
      </c>
      <c r="K290" s="45">
        <f t="shared" si="82"/>
        <v>21710186.011316251</v>
      </c>
      <c r="L290" s="45">
        <v>11426343.970000001</v>
      </c>
      <c r="M290" s="45">
        <v>5953710.7000000002</v>
      </c>
      <c r="N290" s="45">
        <f t="shared" si="83"/>
        <v>17380054.670000002</v>
      </c>
      <c r="O290" s="45">
        <v>30509335.510352265</v>
      </c>
      <c r="P290" s="45">
        <v>10447684.226862645</v>
      </c>
      <c r="Q290" s="45">
        <f t="shared" si="84"/>
        <v>40957019.737214908</v>
      </c>
      <c r="R290" s="45" t="str">
        <f t="shared" si="85"/>
        <v>Yes</v>
      </c>
      <c r="S290" s="46" t="str">
        <f t="shared" si="85"/>
        <v>Yes</v>
      </c>
      <c r="T290" s="47">
        <f>ROUND(INDEX(Summary!H:H,MATCH(H:H,Summary!A:A,0)),2)</f>
        <v>0.68</v>
      </c>
      <c r="U290" s="47">
        <f>ROUND(INDEX(Summary!I:I,MATCH(H:H,Summary!A:A,0)),2)</f>
        <v>1.22</v>
      </c>
      <c r="V290" s="81">
        <f t="shared" si="86"/>
        <v>11433185.048194475</v>
      </c>
      <c r="W290" s="81">
        <f t="shared" si="86"/>
        <v>5973947.8767510345</v>
      </c>
      <c r="X290" s="45">
        <f t="shared" si="87"/>
        <v>17407132.924945511</v>
      </c>
      <c r="Y290" s="45" t="s">
        <v>2752</v>
      </c>
      <c r="Z290" s="45" t="str">
        <f t="shared" si="88"/>
        <v>Yes</v>
      </c>
      <c r="AA290" s="45" t="str">
        <f t="shared" si="88"/>
        <v>Yes</v>
      </c>
      <c r="AB290" s="45" t="str">
        <f t="shared" si="89"/>
        <v>Yes</v>
      </c>
      <c r="AC290" s="82">
        <f t="shared" si="90"/>
        <v>0.79</v>
      </c>
      <c r="AD290" s="82">
        <f t="shared" si="90"/>
        <v>0.64</v>
      </c>
      <c r="AE290" s="45">
        <f t="shared" si="91"/>
        <v>13282670.86481417</v>
      </c>
      <c r="AF290" s="45">
        <f t="shared" si="91"/>
        <v>3133874.2960005426</v>
      </c>
      <c r="AG290" s="45">
        <f t="shared" si="92"/>
        <v>16416545.160814712</v>
      </c>
      <c r="AH290" s="47">
        <f>IFERROR(ROUNDDOWN(INDEX('90% of ACR'!K:K,MATCH(H:H,'90% of ACR'!A:A,0))*IF(I290&gt;0,IF(O290&gt;0,$R$4*MAX(O290-V290,0),0),0)/I290,2),0)</f>
        <v>0.79</v>
      </c>
      <c r="AI290" s="82">
        <f>IFERROR(ROUNDDOWN(INDEX('90% of ACR'!R:R,MATCH(H:H,'90% of ACR'!A:A,0))*IF(J290&gt;0,IF(P290&gt;0,$R$4*MAX(P290-W290,0),0),0)/J290,2),0)</f>
        <v>0.63</v>
      </c>
      <c r="AJ290" s="45">
        <f t="shared" si="93"/>
        <v>13282670.86481417</v>
      </c>
      <c r="AK290" s="45">
        <f t="shared" si="93"/>
        <v>3084907.5101255341</v>
      </c>
      <c r="AL290" s="47">
        <f t="shared" si="94"/>
        <v>1.4700000000000002</v>
      </c>
      <c r="AM290" s="47">
        <f t="shared" si="94"/>
        <v>1.85</v>
      </c>
      <c r="AN290" s="83">
        <f>IFERROR(INDEX('Fee Calc'!P:P,MATCH(C290,'Fee Calc'!F:F,0)),0)</f>
        <v>33774711.299885213</v>
      </c>
      <c r="AO290" s="83">
        <f>IFERROR(INDEX('Fee Calc'!Q:Q,MATCH(C290,'Fee Calc'!F:F,0)),0)</f>
        <v>2116622.9106570096</v>
      </c>
      <c r="AP290" s="83">
        <f t="shared" si="95"/>
        <v>35891334.210542224</v>
      </c>
      <c r="AQ290" s="70">
        <f t="shared" si="96"/>
        <v>15326748.230596267</v>
      </c>
      <c r="AR290" s="70">
        <f t="shared" si="97"/>
        <v>7663374.1152981333</v>
      </c>
      <c r="AS290" s="70">
        <f t="shared" si="98"/>
        <v>7663374.1152981333</v>
      </c>
    </row>
    <row r="291" spans="1:45">
      <c r="A291" s="104" t="s">
        <v>1053</v>
      </c>
      <c r="B291" s="124" t="s">
        <v>1053</v>
      </c>
      <c r="C291" s="31" t="s">
        <v>1054</v>
      </c>
      <c r="D291" s="125" t="s">
        <v>1054</v>
      </c>
      <c r="E291" s="119" t="s">
        <v>2894</v>
      </c>
      <c r="F291" s="100" t="s">
        <v>2291</v>
      </c>
      <c r="G291" s="100" t="s">
        <v>1514</v>
      </c>
      <c r="H291" s="43" t="str">
        <f t="shared" si="81"/>
        <v>Rural Hidalgo</v>
      </c>
      <c r="I291" s="45">
        <f>INDEX('Fee Calc'!M:M,MATCH(C:C,'Fee Calc'!F:F,0))</f>
        <v>1500758.6185164102</v>
      </c>
      <c r="J291" s="45">
        <f>INDEX('Fee Calc'!L:L,MATCH(C:C,'Fee Calc'!F:F,0))</f>
        <v>3053698.530115067</v>
      </c>
      <c r="K291" s="45">
        <f t="shared" si="82"/>
        <v>4554457.1486314777</v>
      </c>
      <c r="L291" s="45">
        <v>-215105.07</v>
      </c>
      <c r="M291" s="45">
        <v>-223295.26</v>
      </c>
      <c r="N291" s="45">
        <f t="shared" si="83"/>
        <v>-438400.33</v>
      </c>
      <c r="O291" s="45">
        <v>76779.137930776924</v>
      </c>
      <c r="P291" s="45">
        <v>138861.66985834972</v>
      </c>
      <c r="Q291" s="45">
        <f t="shared" si="84"/>
        <v>215640.80778912664</v>
      </c>
      <c r="R291" s="45" t="str">
        <f t="shared" si="85"/>
        <v>Yes</v>
      </c>
      <c r="S291" s="46" t="str">
        <f t="shared" si="85"/>
        <v>Yes</v>
      </c>
      <c r="T291" s="47">
        <f>ROUND(INDEX(Summary!H:H,MATCH(H:H,Summary!A:A,0)),2)</f>
        <v>0</v>
      </c>
      <c r="U291" s="47">
        <f>ROUND(INDEX(Summary!I:I,MATCH(H:H,Summary!A:A,0)),2)</f>
        <v>0.05</v>
      </c>
      <c r="V291" s="81">
        <f t="shared" si="86"/>
        <v>0</v>
      </c>
      <c r="W291" s="81">
        <f t="shared" si="86"/>
        <v>152684.92650575336</v>
      </c>
      <c r="X291" s="45">
        <f t="shared" si="87"/>
        <v>152684.92650575336</v>
      </c>
      <c r="Y291" s="45" t="s">
        <v>2752</v>
      </c>
      <c r="Z291" s="45" t="str">
        <f t="shared" si="88"/>
        <v>Yes</v>
      </c>
      <c r="AA291" s="45" t="str">
        <f t="shared" si="88"/>
        <v>No</v>
      </c>
      <c r="AB291" s="45" t="str">
        <f t="shared" si="89"/>
        <v>Yes</v>
      </c>
      <c r="AC291" s="82">
        <f t="shared" si="90"/>
        <v>0.04</v>
      </c>
      <c r="AD291" s="82">
        <f t="shared" si="90"/>
        <v>0</v>
      </c>
      <c r="AE291" s="45">
        <f t="shared" si="91"/>
        <v>60030.344740656408</v>
      </c>
      <c r="AF291" s="45">
        <f t="shared" si="91"/>
        <v>0</v>
      </c>
      <c r="AG291" s="45">
        <f t="shared" si="92"/>
        <v>60030.344740656408</v>
      </c>
      <c r="AH291" s="47">
        <f>IFERROR(ROUNDDOWN(INDEX('90% of ACR'!K:K,MATCH(H:H,'90% of ACR'!A:A,0))*IF(I291&gt;0,IF(O291&gt;0,$R$4*MAX(O291-V291,0),0),0)/I291,2),0)</f>
        <v>0.03</v>
      </c>
      <c r="AI291" s="82">
        <f>IFERROR(ROUNDDOWN(INDEX('90% of ACR'!R:R,MATCH(H:H,'90% of ACR'!A:A,0))*IF(J291&gt;0,IF(P291&gt;0,$R$4*MAX(P291-W291,0),0),0)/J291,2),0)</f>
        <v>0</v>
      </c>
      <c r="AJ291" s="45">
        <f t="shared" si="93"/>
        <v>45022.758555492306</v>
      </c>
      <c r="AK291" s="45">
        <f t="shared" si="93"/>
        <v>0</v>
      </c>
      <c r="AL291" s="47">
        <f t="shared" si="94"/>
        <v>0.03</v>
      </c>
      <c r="AM291" s="47">
        <f t="shared" si="94"/>
        <v>0.05</v>
      </c>
      <c r="AN291" s="83">
        <f>IFERROR(INDEX('Fee Calc'!P:P,MATCH(C291,'Fee Calc'!F:F,0)),0)</f>
        <v>197707.68506124566</v>
      </c>
      <c r="AO291" s="83">
        <f>IFERROR(INDEX('Fee Calc'!Q:Q,MATCH(C291,'Fee Calc'!F:F,0)),0)</f>
        <v>12178.647350424957</v>
      </c>
      <c r="AP291" s="83">
        <f t="shared" si="95"/>
        <v>209886.33241167062</v>
      </c>
      <c r="AQ291" s="70">
        <f t="shared" si="96"/>
        <v>89628.180302420529</v>
      </c>
      <c r="AR291" s="70">
        <f t="shared" si="97"/>
        <v>44814.090151210265</v>
      </c>
      <c r="AS291" s="70">
        <f t="shared" si="98"/>
        <v>44814.090151210265</v>
      </c>
    </row>
    <row r="292" spans="1:45">
      <c r="A292" s="104" t="s">
        <v>471</v>
      </c>
      <c r="B292" s="124" t="s">
        <v>471</v>
      </c>
      <c r="C292" s="31" t="s">
        <v>472</v>
      </c>
      <c r="D292" s="125" t="s">
        <v>472</v>
      </c>
      <c r="E292" s="119" t="s">
        <v>2598</v>
      </c>
      <c r="F292" s="100" t="s">
        <v>2291</v>
      </c>
      <c r="G292" s="100" t="s">
        <v>227</v>
      </c>
      <c r="H292" s="43" t="str">
        <f t="shared" si="81"/>
        <v>Rural MRSA West</v>
      </c>
      <c r="I292" s="45">
        <f>INDEX('Fee Calc'!M:M,MATCH(C:C,'Fee Calc'!F:F,0))</f>
        <v>9666437.6109642927</v>
      </c>
      <c r="J292" s="45">
        <f>INDEX('Fee Calc'!L:L,MATCH(C:C,'Fee Calc'!F:F,0))</f>
        <v>3068960.7863707729</v>
      </c>
      <c r="K292" s="45">
        <f t="shared" si="82"/>
        <v>12735398.397335066</v>
      </c>
      <c r="L292" s="45">
        <v>-646919.23</v>
      </c>
      <c r="M292" s="45">
        <v>-566014.71999999997</v>
      </c>
      <c r="N292" s="45">
        <f t="shared" si="83"/>
        <v>-1212933.95</v>
      </c>
      <c r="O292" s="45">
        <v>1743852.6028848956</v>
      </c>
      <c r="P292" s="45">
        <v>2378049.6331727728</v>
      </c>
      <c r="Q292" s="45">
        <f t="shared" si="84"/>
        <v>4121902.2360576685</v>
      </c>
      <c r="R292" s="45" t="str">
        <f t="shared" si="85"/>
        <v>Yes</v>
      </c>
      <c r="S292" s="46" t="str">
        <f t="shared" si="85"/>
        <v>Yes</v>
      </c>
      <c r="T292" s="47">
        <f>ROUND(INDEX(Summary!H:H,MATCH(H:H,Summary!A:A,0)),2)</f>
        <v>0</v>
      </c>
      <c r="U292" s="47">
        <f>ROUND(INDEX(Summary!I:I,MATCH(H:H,Summary!A:A,0)),2)</f>
        <v>0.2</v>
      </c>
      <c r="V292" s="81">
        <f t="shared" si="86"/>
        <v>0</v>
      </c>
      <c r="W292" s="81">
        <f t="shared" si="86"/>
        <v>613792.1572741546</v>
      </c>
      <c r="X292" s="45">
        <f t="shared" si="87"/>
        <v>613792.1572741546</v>
      </c>
      <c r="Y292" s="45" t="s">
        <v>2752</v>
      </c>
      <c r="Z292" s="45" t="str">
        <f t="shared" si="88"/>
        <v>No</v>
      </c>
      <c r="AA292" s="45" t="str">
        <f t="shared" si="88"/>
        <v>Yes</v>
      </c>
      <c r="AB292" s="45" t="str">
        <f t="shared" si="89"/>
        <v>Yes</v>
      </c>
      <c r="AC292" s="82">
        <f t="shared" si="90"/>
        <v>0.13</v>
      </c>
      <c r="AD292" s="82">
        <f t="shared" si="90"/>
        <v>0.4</v>
      </c>
      <c r="AE292" s="45">
        <f t="shared" si="91"/>
        <v>1256636.889425358</v>
      </c>
      <c r="AF292" s="45">
        <f t="shared" si="91"/>
        <v>1227584.3145483092</v>
      </c>
      <c r="AG292" s="45">
        <f t="shared" si="92"/>
        <v>2484221.2039736672</v>
      </c>
      <c r="AH292" s="47">
        <f>IFERROR(ROUNDDOWN(INDEX('90% of ACR'!K:K,MATCH(H:H,'90% of ACR'!A:A,0))*IF(I292&gt;0,IF(O292&gt;0,$R$4*MAX(O292-V292,0),0),0)/I292,2),0)</f>
        <v>0</v>
      </c>
      <c r="AI292" s="82">
        <f>IFERROR(ROUNDDOWN(INDEX('90% of ACR'!R:R,MATCH(H:H,'90% of ACR'!A:A,0))*IF(J292&gt;0,IF(P292&gt;0,$R$4*MAX(P292-W292,0),0),0)/J292,2),0)</f>
        <v>0.35</v>
      </c>
      <c r="AJ292" s="45">
        <f t="shared" si="93"/>
        <v>0</v>
      </c>
      <c r="AK292" s="45">
        <f t="shared" si="93"/>
        <v>1074136.2752297705</v>
      </c>
      <c r="AL292" s="47">
        <f t="shared" si="94"/>
        <v>0</v>
      </c>
      <c r="AM292" s="47">
        <f t="shared" si="94"/>
        <v>0.55000000000000004</v>
      </c>
      <c r="AN292" s="83">
        <f>IFERROR(INDEX('Fee Calc'!P:P,MATCH(C292,'Fee Calc'!F:F,0)),0)</f>
        <v>1687928.4325039252</v>
      </c>
      <c r="AO292" s="83">
        <f>IFERROR(INDEX('Fee Calc'!Q:Q,MATCH(C292,'Fee Calc'!F:F,0)),0)</f>
        <v>103932.6297305265</v>
      </c>
      <c r="AP292" s="83">
        <f t="shared" si="95"/>
        <v>1791861.0622344518</v>
      </c>
      <c r="AQ292" s="70">
        <f t="shared" si="96"/>
        <v>765182.01312810241</v>
      </c>
      <c r="AR292" s="70">
        <f t="shared" si="97"/>
        <v>382591.0065640512</v>
      </c>
      <c r="AS292" s="70">
        <f t="shared" si="98"/>
        <v>382591.0065640512</v>
      </c>
    </row>
    <row r="293" spans="1:45" ht="25.5">
      <c r="A293" s="104" t="s">
        <v>1356</v>
      </c>
      <c r="B293" s="124" t="s">
        <v>1356</v>
      </c>
      <c r="C293" s="31" t="s">
        <v>1357</v>
      </c>
      <c r="D293" s="125" t="s">
        <v>1357</v>
      </c>
      <c r="E293" s="119" t="s">
        <v>2895</v>
      </c>
      <c r="F293" s="100" t="s">
        <v>2529</v>
      </c>
      <c r="G293" s="100" t="s">
        <v>300</v>
      </c>
      <c r="H293" s="43" t="str">
        <f t="shared" si="81"/>
        <v>Non-state-owned IMD Harris</v>
      </c>
      <c r="I293" s="45">
        <f>INDEX('Fee Calc'!M:M,MATCH(C:C,'Fee Calc'!F:F,0))</f>
        <v>1584445.9651911401</v>
      </c>
      <c r="J293" s="45">
        <f>INDEX('Fee Calc'!L:L,MATCH(C:C,'Fee Calc'!F:F,0))</f>
        <v>0</v>
      </c>
      <c r="K293" s="45">
        <f t="shared" si="82"/>
        <v>1584445.9651911401</v>
      </c>
      <c r="L293" s="45">
        <v>489116.8</v>
      </c>
      <c r="M293" s="45">
        <v>0</v>
      </c>
      <c r="N293" s="45">
        <f t="shared" si="83"/>
        <v>489116.8</v>
      </c>
      <c r="O293" s="45">
        <v>353567.03698971414</v>
      </c>
      <c r="P293" s="45">
        <v>0</v>
      </c>
      <c r="Q293" s="45">
        <f t="shared" si="84"/>
        <v>353567.03698971414</v>
      </c>
      <c r="R293" s="45" t="str">
        <f t="shared" si="85"/>
        <v>Yes</v>
      </c>
      <c r="S293" s="46" t="str">
        <f t="shared" si="85"/>
        <v>No</v>
      </c>
      <c r="T293" s="47">
        <f>ROUND(INDEX(Summary!H:H,MATCH(H:H,Summary!A:A,0)),2)</f>
        <v>0.24</v>
      </c>
      <c r="U293" s="47">
        <f>ROUND(INDEX(Summary!I:I,MATCH(H:H,Summary!A:A,0)),2)</f>
        <v>0</v>
      </c>
      <c r="V293" s="81">
        <f t="shared" si="86"/>
        <v>380267.03164587362</v>
      </c>
      <c r="W293" s="81">
        <f t="shared" si="86"/>
        <v>0</v>
      </c>
      <c r="X293" s="45">
        <f t="shared" si="87"/>
        <v>380267.03164587362</v>
      </c>
      <c r="Y293" s="45" t="s">
        <v>2753</v>
      </c>
      <c r="Z293" s="45" t="str">
        <f t="shared" si="88"/>
        <v>No</v>
      </c>
      <c r="AA293" s="45" t="str">
        <f t="shared" si="88"/>
        <v>No</v>
      </c>
      <c r="AB293" s="45" t="str">
        <f t="shared" si="89"/>
        <v>No</v>
      </c>
      <c r="AC293" s="82">
        <f t="shared" si="90"/>
        <v>0</v>
      </c>
      <c r="AD293" s="82">
        <f t="shared" si="90"/>
        <v>0</v>
      </c>
      <c r="AE293" s="45">
        <f t="shared" si="91"/>
        <v>0</v>
      </c>
      <c r="AF293" s="45">
        <f t="shared" si="91"/>
        <v>0</v>
      </c>
      <c r="AG293" s="45">
        <f t="shared" si="92"/>
        <v>0</v>
      </c>
      <c r="AH293" s="47">
        <f>IFERROR(ROUNDDOWN(INDEX('90% of ACR'!K:K,MATCH(H:H,'90% of ACR'!A:A,0))*IF(I293&gt;0,IF(O293&gt;0,$R$4*MAX(O293-V293,0),0),0)/I293,2),0)</f>
        <v>0</v>
      </c>
      <c r="AI293" s="82">
        <f>IFERROR(ROUNDDOWN(INDEX('90% of ACR'!R:R,MATCH(H:H,'90% of ACR'!A:A,0))*IF(J293&gt;0,IF(P293&gt;0,$R$4*MAX(P293-W293,0),0),0)/J293,2),0)</f>
        <v>0</v>
      </c>
      <c r="AJ293" s="45">
        <f t="shared" si="93"/>
        <v>0</v>
      </c>
      <c r="AK293" s="45">
        <f t="shared" si="93"/>
        <v>0</v>
      </c>
      <c r="AL293" s="47">
        <f t="shared" si="94"/>
        <v>0.24</v>
      </c>
      <c r="AM293" s="47">
        <f t="shared" si="94"/>
        <v>0</v>
      </c>
      <c r="AN293" s="83">
        <f>IFERROR(INDEX('Fee Calc'!P:P,MATCH(C293,'Fee Calc'!F:F,0)),0)</f>
        <v>380267.03164587362</v>
      </c>
      <c r="AO293" s="83">
        <f>IFERROR(INDEX('Fee Calc'!Q:Q,MATCH(C293,'Fee Calc'!F:F,0)),0)</f>
        <v>23199.314927997595</v>
      </c>
      <c r="AP293" s="83">
        <f t="shared" si="95"/>
        <v>403466.34657387121</v>
      </c>
      <c r="AQ293" s="70">
        <f t="shared" si="96"/>
        <v>172293.04091013336</v>
      </c>
      <c r="AR293" s="70">
        <f t="shared" si="97"/>
        <v>86146.520455066682</v>
      </c>
      <c r="AS293" s="70">
        <f t="shared" si="98"/>
        <v>86146.520455066682</v>
      </c>
    </row>
    <row r="294" spans="1:45">
      <c r="A294" s="104" t="s">
        <v>665</v>
      </c>
      <c r="B294" s="124" t="s">
        <v>665</v>
      </c>
      <c r="C294" s="31" t="s">
        <v>666</v>
      </c>
      <c r="D294" s="125" t="s">
        <v>666</v>
      </c>
      <c r="E294" s="119" t="s">
        <v>2896</v>
      </c>
      <c r="F294" s="100" t="s">
        <v>2291</v>
      </c>
      <c r="G294" s="100" t="s">
        <v>227</v>
      </c>
      <c r="H294" s="43" t="str">
        <f t="shared" si="81"/>
        <v>Rural MRSA West</v>
      </c>
      <c r="I294" s="45">
        <f>INDEX('Fee Calc'!M:M,MATCH(C:C,'Fee Calc'!F:F,0))</f>
        <v>305956.74294551881</v>
      </c>
      <c r="J294" s="45">
        <f>INDEX('Fee Calc'!L:L,MATCH(C:C,'Fee Calc'!F:F,0))</f>
        <v>615005.99303906027</v>
      </c>
      <c r="K294" s="45">
        <f t="shared" si="82"/>
        <v>920962.73598457908</v>
      </c>
      <c r="L294" s="45">
        <v>2567.4699999999998</v>
      </c>
      <c r="M294" s="45">
        <v>-151254.24</v>
      </c>
      <c r="N294" s="45">
        <f t="shared" si="83"/>
        <v>-148686.76999999999</v>
      </c>
      <c r="O294" s="45">
        <v>-9949.2086870139483</v>
      </c>
      <c r="P294" s="45">
        <v>107997.35534731863</v>
      </c>
      <c r="Q294" s="45">
        <f t="shared" si="84"/>
        <v>98048.146660304687</v>
      </c>
      <c r="R294" s="45" t="str">
        <f t="shared" si="85"/>
        <v>No</v>
      </c>
      <c r="S294" s="46" t="str">
        <f t="shared" si="85"/>
        <v>Yes</v>
      </c>
      <c r="T294" s="47">
        <f>ROUND(INDEX(Summary!H:H,MATCH(H:H,Summary!A:A,0)),2)</f>
        <v>0</v>
      </c>
      <c r="U294" s="47">
        <f>ROUND(INDEX(Summary!I:I,MATCH(H:H,Summary!A:A,0)),2)</f>
        <v>0.2</v>
      </c>
      <c r="V294" s="81">
        <f t="shared" si="86"/>
        <v>0</v>
      </c>
      <c r="W294" s="81">
        <f t="shared" si="86"/>
        <v>123001.19860781205</v>
      </c>
      <c r="X294" s="45">
        <f t="shared" si="87"/>
        <v>123001.19860781205</v>
      </c>
      <c r="Y294" s="45" t="s">
        <v>2752</v>
      </c>
      <c r="Z294" s="45" t="str">
        <f t="shared" si="88"/>
        <v>No</v>
      </c>
      <c r="AA294" s="45" t="str">
        <f t="shared" si="88"/>
        <v>No</v>
      </c>
      <c r="AB294" s="45" t="str">
        <f t="shared" si="89"/>
        <v>No</v>
      </c>
      <c r="AC294" s="82">
        <f t="shared" si="90"/>
        <v>0</v>
      </c>
      <c r="AD294" s="82">
        <f t="shared" si="90"/>
        <v>0</v>
      </c>
      <c r="AE294" s="45">
        <f t="shared" si="91"/>
        <v>0</v>
      </c>
      <c r="AF294" s="45">
        <f t="shared" si="91"/>
        <v>0</v>
      </c>
      <c r="AG294" s="45">
        <f t="shared" si="92"/>
        <v>0</v>
      </c>
      <c r="AH294" s="47">
        <f>IFERROR(ROUNDDOWN(INDEX('90% of ACR'!K:K,MATCH(H:H,'90% of ACR'!A:A,0))*IF(I294&gt;0,IF(O294&gt;0,$R$4*MAX(O294-V294,0),0),0)/I294,2),0)</f>
        <v>0</v>
      </c>
      <c r="AI294" s="82">
        <f>IFERROR(ROUNDDOWN(INDEX('90% of ACR'!R:R,MATCH(H:H,'90% of ACR'!A:A,0))*IF(J294&gt;0,IF(P294&gt;0,$R$4*MAX(P294-W294,0),0),0)/J294,2),0)</f>
        <v>0</v>
      </c>
      <c r="AJ294" s="45">
        <f t="shared" si="93"/>
        <v>0</v>
      </c>
      <c r="AK294" s="45">
        <f t="shared" si="93"/>
        <v>0</v>
      </c>
      <c r="AL294" s="47">
        <f t="shared" si="94"/>
        <v>0</v>
      </c>
      <c r="AM294" s="47">
        <f t="shared" si="94"/>
        <v>0.2</v>
      </c>
      <c r="AN294" s="83">
        <f>IFERROR(INDEX('Fee Calc'!P:P,MATCH(C294,'Fee Calc'!F:F,0)),0)</f>
        <v>123001.19860781205</v>
      </c>
      <c r="AO294" s="83">
        <f>IFERROR(INDEX('Fee Calc'!Q:Q,MATCH(C294,'Fee Calc'!F:F,0)),0)</f>
        <v>7576.091329117512</v>
      </c>
      <c r="AP294" s="83">
        <f t="shared" si="95"/>
        <v>130577.28993692956</v>
      </c>
      <c r="AQ294" s="70">
        <f t="shared" si="96"/>
        <v>55760.681276346906</v>
      </c>
      <c r="AR294" s="70">
        <f t="shared" si="97"/>
        <v>27880.340638173453</v>
      </c>
      <c r="AS294" s="70">
        <f t="shared" si="98"/>
        <v>27880.340638173453</v>
      </c>
    </row>
    <row r="295" spans="1:45" ht="25.5">
      <c r="A295" s="104" t="s">
        <v>1234</v>
      </c>
      <c r="B295" s="124" t="s">
        <v>1235</v>
      </c>
      <c r="C295" s="31" t="s">
        <v>1235</v>
      </c>
      <c r="D295" s="125" t="s">
        <v>1235</v>
      </c>
      <c r="E295" s="119" t="s">
        <v>2547</v>
      </c>
      <c r="F295" s="100" t="s">
        <v>2529</v>
      </c>
      <c r="G295" s="100" t="s">
        <v>223</v>
      </c>
      <c r="H295" s="43" t="str">
        <f t="shared" si="81"/>
        <v>Non-state-owned IMD Dallas</v>
      </c>
      <c r="I295" s="45">
        <f>INDEX('Fee Calc'!M:M,MATCH(C:C,'Fee Calc'!F:F,0))</f>
        <v>5043225.2916450631</v>
      </c>
      <c r="J295" s="45">
        <f>INDEX('Fee Calc'!L:L,MATCH(C:C,'Fee Calc'!F:F,0))</f>
        <v>0</v>
      </c>
      <c r="K295" s="45">
        <f t="shared" si="82"/>
        <v>5043225.2916450631</v>
      </c>
      <c r="L295" s="45">
        <v>963300.24</v>
      </c>
      <c r="M295" s="45">
        <v>0</v>
      </c>
      <c r="N295" s="45">
        <f t="shared" si="83"/>
        <v>963300.24</v>
      </c>
      <c r="O295" s="45">
        <v>1040924.3969355463</v>
      </c>
      <c r="P295" s="45">
        <v>0</v>
      </c>
      <c r="Q295" s="45">
        <f t="shared" si="84"/>
        <v>1040924.3969355463</v>
      </c>
      <c r="R295" s="45" t="str">
        <f t="shared" si="85"/>
        <v>Yes</v>
      </c>
      <c r="S295" s="46" t="str">
        <f t="shared" si="85"/>
        <v>No</v>
      </c>
      <c r="T295" s="47">
        <f>ROUND(INDEX(Summary!H:H,MATCH(H:H,Summary!A:A,0)),2)</f>
        <v>0.26</v>
      </c>
      <c r="U295" s="47">
        <f>ROUND(INDEX(Summary!I:I,MATCH(H:H,Summary!A:A,0)),2)</f>
        <v>0</v>
      </c>
      <c r="V295" s="81">
        <f t="shared" si="86"/>
        <v>1311238.5758277164</v>
      </c>
      <c r="W295" s="81">
        <f t="shared" si="86"/>
        <v>0</v>
      </c>
      <c r="X295" s="45">
        <f t="shared" si="87"/>
        <v>1311238.5758277164</v>
      </c>
      <c r="Y295" s="45" t="s">
        <v>2752</v>
      </c>
      <c r="Z295" s="45" t="str">
        <f t="shared" si="88"/>
        <v>No</v>
      </c>
      <c r="AA295" s="45" t="str">
        <f t="shared" si="88"/>
        <v>No</v>
      </c>
      <c r="AB295" s="45" t="str">
        <f t="shared" si="89"/>
        <v>No</v>
      </c>
      <c r="AC295" s="82">
        <f t="shared" si="90"/>
        <v>0</v>
      </c>
      <c r="AD295" s="82">
        <f t="shared" si="90"/>
        <v>0</v>
      </c>
      <c r="AE295" s="45">
        <f t="shared" si="91"/>
        <v>0</v>
      </c>
      <c r="AF295" s="45">
        <f t="shared" si="91"/>
        <v>0</v>
      </c>
      <c r="AG295" s="45">
        <f t="shared" si="92"/>
        <v>0</v>
      </c>
      <c r="AH295" s="47">
        <f>IFERROR(ROUNDDOWN(INDEX('90% of ACR'!K:K,MATCH(H:H,'90% of ACR'!A:A,0))*IF(I295&gt;0,IF(O295&gt;0,$R$4*MAX(O295-V295,0),0),0)/I295,2),0)</f>
        <v>0</v>
      </c>
      <c r="AI295" s="82">
        <f>IFERROR(ROUNDDOWN(INDEX('90% of ACR'!R:R,MATCH(H:H,'90% of ACR'!A:A,0))*IF(J295&gt;0,IF(P295&gt;0,$R$4*MAX(P295-W295,0),0),0)/J295,2),0)</f>
        <v>0</v>
      </c>
      <c r="AJ295" s="45">
        <f t="shared" si="93"/>
        <v>0</v>
      </c>
      <c r="AK295" s="45">
        <f t="shared" si="93"/>
        <v>0</v>
      </c>
      <c r="AL295" s="47">
        <f t="shared" si="94"/>
        <v>0.26</v>
      </c>
      <c r="AM295" s="47">
        <f t="shared" si="94"/>
        <v>0</v>
      </c>
      <c r="AN295" s="83">
        <f>IFERROR(INDEX('Fee Calc'!P:P,MATCH(C295,'Fee Calc'!F:F,0)),0)</f>
        <v>1311238.5758277164</v>
      </c>
      <c r="AO295" s="83">
        <f>IFERROR(INDEX('Fee Calc'!Q:Q,MATCH(C295,'Fee Calc'!F:F,0)),0)</f>
        <v>79995.987384714797</v>
      </c>
      <c r="AP295" s="83">
        <f t="shared" si="95"/>
        <v>1391234.5632124313</v>
      </c>
      <c r="AQ295" s="70">
        <f t="shared" si="96"/>
        <v>594101.67799773102</v>
      </c>
      <c r="AR295" s="70">
        <f t="shared" si="97"/>
        <v>297050.83899886551</v>
      </c>
      <c r="AS295" s="70">
        <f t="shared" si="98"/>
        <v>297050.83899886551</v>
      </c>
    </row>
    <row r="296" spans="1:45">
      <c r="A296" s="104" t="s">
        <v>989</v>
      </c>
      <c r="B296" s="124" t="s">
        <v>989</v>
      </c>
      <c r="C296" s="31" t="s">
        <v>990</v>
      </c>
      <c r="D296" s="125" t="s">
        <v>990</v>
      </c>
      <c r="E296" s="119" t="s">
        <v>2643</v>
      </c>
      <c r="F296" s="100" t="s">
        <v>2291</v>
      </c>
      <c r="G296" s="100" t="s">
        <v>1548</v>
      </c>
      <c r="H296" s="43" t="str">
        <f t="shared" si="81"/>
        <v>Rural Nueces</v>
      </c>
      <c r="I296" s="45">
        <f>INDEX('Fee Calc'!M:M,MATCH(C:C,'Fee Calc'!F:F,0))</f>
        <v>78156.30675869438</v>
      </c>
      <c r="J296" s="45">
        <f>INDEX('Fee Calc'!L:L,MATCH(C:C,'Fee Calc'!F:F,0))</f>
        <v>524107.95727044984</v>
      </c>
      <c r="K296" s="45">
        <f t="shared" si="82"/>
        <v>602264.26402914419</v>
      </c>
      <c r="L296" s="45">
        <v>0</v>
      </c>
      <c r="M296" s="45">
        <v>-140881.07999999999</v>
      </c>
      <c r="N296" s="45">
        <f t="shared" si="83"/>
        <v>-140881.07999999999</v>
      </c>
      <c r="O296" s="45">
        <v>0</v>
      </c>
      <c r="P296" s="45">
        <v>-15505.042545551987</v>
      </c>
      <c r="Q296" s="45">
        <f t="shared" si="84"/>
        <v>-15505.042545551987</v>
      </c>
      <c r="R296" s="45" t="str">
        <f t="shared" si="85"/>
        <v>No</v>
      </c>
      <c r="S296" s="46" t="str">
        <f t="shared" si="85"/>
        <v>No</v>
      </c>
      <c r="T296" s="47">
        <f>ROUND(INDEX(Summary!H:H,MATCH(H:H,Summary!A:A,0)),2)</f>
        <v>0.17</v>
      </c>
      <c r="U296" s="47">
        <f>ROUND(INDEX(Summary!I:I,MATCH(H:H,Summary!A:A,0)),2)</f>
        <v>0.13</v>
      </c>
      <c r="V296" s="81">
        <f t="shared" si="86"/>
        <v>13286.572148978046</v>
      </c>
      <c r="W296" s="81">
        <f t="shared" si="86"/>
        <v>68134.034445158482</v>
      </c>
      <c r="X296" s="45">
        <f t="shared" si="87"/>
        <v>81420.606594136523</v>
      </c>
      <c r="Y296" s="45" t="s">
        <v>2752</v>
      </c>
      <c r="Z296" s="45" t="str">
        <f t="shared" si="88"/>
        <v>No</v>
      </c>
      <c r="AA296" s="45" t="str">
        <f t="shared" si="88"/>
        <v>No</v>
      </c>
      <c r="AB296" s="45" t="str">
        <f t="shared" si="89"/>
        <v>No</v>
      </c>
      <c r="AC296" s="82">
        <f t="shared" si="90"/>
        <v>0</v>
      </c>
      <c r="AD296" s="82">
        <f t="shared" si="90"/>
        <v>0</v>
      </c>
      <c r="AE296" s="45">
        <f t="shared" si="91"/>
        <v>0</v>
      </c>
      <c r="AF296" s="45">
        <f t="shared" si="91"/>
        <v>0</v>
      </c>
      <c r="AG296" s="45">
        <f t="shared" si="92"/>
        <v>0</v>
      </c>
      <c r="AH296" s="47">
        <f>IFERROR(ROUNDDOWN(INDEX('90% of ACR'!K:K,MATCH(H:H,'90% of ACR'!A:A,0))*IF(I296&gt;0,IF(O296&gt;0,$R$4*MAX(O296-V296,0),0),0)/I296,2),0)</f>
        <v>0</v>
      </c>
      <c r="AI296" s="82">
        <f>IFERROR(ROUNDDOWN(INDEX('90% of ACR'!R:R,MATCH(H:H,'90% of ACR'!A:A,0))*IF(J296&gt;0,IF(P296&gt;0,$R$4*MAX(P296-W296,0),0),0)/J296,2),0)</f>
        <v>0</v>
      </c>
      <c r="AJ296" s="45">
        <f t="shared" si="93"/>
        <v>0</v>
      </c>
      <c r="AK296" s="45">
        <f t="shared" si="93"/>
        <v>0</v>
      </c>
      <c r="AL296" s="47">
        <f t="shared" si="94"/>
        <v>0.17</v>
      </c>
      <c r="AM296" s="47">
        <f t="shared" si="94"/>
        <v>0.13</v>
      </c>
      <c r="AN296" s="83">
        <f>IFERROR(INDEX('Fee Calc'!P:P,MATCH(C296,'Fee Calc'!F:F,0)),0)</f>
        <v>81420.606594136523</v>
      </c>
      <c r="AO296" s="83">
        <f>IFERROR(INDEX('Fee Calc'!Q:Q,MATCH(C296,'Fee Calc'!F:F,0)),0)</f>
        <v>5047.6532654221101</v>
      </c>
      <c r="AP296" s="83">
        <f t="shared" si="95"/>
        <v>86468.259859558631</v>
      </c>
      <c r="AQ296" s="70">
        <f t="shared" si="96"/>
        <v>36924.713944347044</v>
      </c>
      <c r="AR296" s="70">
        <f t="shared" si="97"/>
        <v>18462.356972173522</v>
      </c>
      <c r="AS296" s="70">
        <f t="shared" si="98"/>
        <v>18462.356972173522</v>
      </c>
    </row>
    <row r="297" spans="1:45">
      <c r="A297" s="104" t="s">
        <v>195</v>
      </c>
      <c r="B297" s="124" t="s">
        <v>195</v>
      </c>
      <c r="C297" s="31" t="s">
        <v>196</v>
      </c>
      <c r="D297" s="125" t="s">
        <v>196</v>
      </c>
      <c r="E297" s="119" t="s">
        <v>2897</v>
      </c>
      <c r="F297" s="100" t="s">
        <v>2291</v>
      </c>
      <c r="G297" s="100" t="s">
        <v>1548</v>
      </c>
      <c r="H297" s="43" t="str">
        <f t="shared" si="81"/>
        <v>Rural Nueces</v>
      </c>
      <c r="I297" s="45">
        <f>INDEX('Fee Calc'!M:M,MATCH(C:C,'Fee Calc'!F:F,0))</f>
        <v>43278.895645063953</v>
      </c>
      <c r="J297" s="45">
        <f>INDEX('Fee Calc'!L:L,MATCH(C:C,'Fee Calc'!F:F,0))</f>
        <v>842592.30678621144</v>
      </c>
      <c r="K297" s="45">
        <f t="shared" si="82"/>
        <v>885871.20243127539</v>
      </c>
      <c r="L297" s="45">
        <v>134457.54</v>
      </c>
      <c r="M297" s="45">
        <v>71912.62</v>
      </c>
      <c r="N297" s="45">
        <f t="shared" si="83"/>
        <v>206370.16</v>
      </c>
      <c r="O297" s="45">
        <v>21690.525712644194</v>
      </c>
      <c r="P297" s="45">
        <v>152083.8527382504</v>
      </c>
      <c r="Q297" s="45">
        <f t="shared" si="84"/>
        <v>173774.37845089458</v>
      </c>
      <c r="R297" s="45" t="str">
        <f t="shared" si="85"/>
        <v>Yes</v>
      </c>
      <c r="S297" s="46" t="str">
        <f t="shared" si="85"/>
        <v>Yes</v>
      </c>
      <c r="T297" s="47">
        <f>ROUND(INDEX(Summary!H:H,MATCH(H:H,Summary!A:A,0)),2)</f>
        <v>0.17</v>
      </c>
      <c r="U297" s="47">
        <f>ROUND(INDEX(Summary!I:I,MATCH(H:H,Summary!A:A,0)),2)</f>
        <v>0.13</v>
      </c>
      <c r="V297" s="81">
        <f t="shared" si="86"/>
        <v>7357.4122596608722</v>
      </c>
      <c r="W297" s="81">
        <f t="shared" si="86"/>
        <v>109536.99988220748</v>
      </c>
      <c r="X297" s="45">
        <f t="shared" si="87"/>
        <v>116894.41214186835</v>
      </c>
      <c r="Y297" s="45" t="s">
        <v>2752</v>
      </c>
      <c r="Z297" s="45" t="str">
        <f t="shared" si="88"/>
        <v>No</v>
      </c>
      <c r="AA297" s="45" t="str">
        <f t="shared" si="88"/>
        <v>Yes</v>
      </c>
      <c r="AB297" s="45" t="str">
        <f t="shared" si="89"/>
        <v>Yes</v>
      </c>
      <c r="AC297" s="82">
        <f t="shared" si="90"/>
        <v>0.23</v>
      </c>
      <c r="AD297" s="82">
        <f t="shared" si="90"/>
        <v>0.04</v>
      </c>
      <c r="AE297" s="45">
        <f t="shared" si="91"/>
        <v>9954.1459983647092</v>
      </c>
      <c r="AF297" s="45">
        <f t="shared" si="91"/>
        <v>33703.692271448461</v>
      </c>
      <c r="AG297" s="45">
        <f t="shared" si="92"/>
        <v>43657.838269813168</v>
      </c>
      <c r="AH297" s="47">
        <f>IFERROR(ROUNDDOWN(INDEX('90% of ACR'!K:K,MATCH(H:H,'90% of ACR'!A:A,0))*IF(I297&gt;0,IF(O297&gt;0,$R$4*MAX(O297-V297,0),0),0)/I297,2),0)</f>
        <v>0</v>
      </c>
      <c r="AI297" s="82">
        <f>IFERROR(ROUNDDOWN(INDEX('90% of ACR'!R:R,MATCH(H:H,'90% of ACR'!A:A,0))*IF(J297&gt;0,IF(P297&gt;0,$R$4*MAX(P297-W297,0),0),0)/J297,2),0)</f>
        <v>0.03</v>
      </c>
      <c r="AJ297" s="45">
        <f t="shared" si="93"/>
        <v>0</v>
      </c>
      <c r="AK297" s="45">
        <f t="shared" si="93"/>
        <v>25277.769203586344</v>
      </c>
      <c r="AL297" s="47">
        <f t="shared" si="94"/>
        <v>0.17</v>
      </c>
      <c r="AM297" s="47">
        <f t="shared" si="94"/>
        <v>0.16</v>
      </c>
      <c r="AN297" s="83">
        <f>IFERROR(INDEX('Fee Calc'!P:P,MATCH(C297,'Fee Calc'!F:F,0)),0)</f>
        <v>142172.18134545471</v>
      </c>
      <c r="AO297" s="83">
        <f>IFERROR(INDEX('Fee Calc'!Q:Q,MATCH(C297,'Fee Calc'!F:F,0)),0)</f>
        <v>8767.9050129325515</v>
      </c>
      <c r="AP297" s="83">
        <f t="shared" si="95"/>
        <v>150940.08635838726</v>
      </c>
      <c r="AQ297" s="70">
        <f t="shared" si="96"/>
        <v>64456.246957794821</v>
      </c>
      <c r="AR297" s="70">
        <f t="shared" si="97"/>
        <v>32228.123478897411</v>
      </c>
      <c r="AS297" s="70">
        <f t="shared" si="98"/>
        <v>32228.123478897411</v>
      </c>
    </row>
    <row r="298" spans="1:45">
      <c r="A298" s="104" t="s">
        <v>980</v>
      </c>
      <c r="B298" s="124" t="s">
        <v>980</v>
      </c>
      <c r="C298" s="31" t="s">
        <v>981</v>
      </c>
      <c r="D298" s="125" t="s">
        <v>981</v>
      </c>
      <c r="E298" s="119" t="s">
        <v>2898</v>
      </c>
      <c r="F298" s="100" t="s">
        <v>2279</v>
      </c>
      <c r="G298" s="100" t="s">
        <v>223</v>
      </c>
      <c r="H298" s="43" t="str">
        <f t="shared" si="81"/>
        <v>Urban Dallas</v>
      </c>
      <c r="I298" s="45">
        <f>INDEX('Fee Calc'!M:M,MATCH(C:C,'Fee Calc'!F:F,0))</f>
        <v>5079935.716165347</v>
      </c>
      <c r="J298" s="45">
        <f>INDEX('Fee Calc'!L:L,MATCH(C:C,'Fee Calc'!F:F,0))</f>
        <v>2732219.8201803714</v>
      </c>
      <c r="K298" s="45">
        <f t="shared" si="82"/>
        <v>7812155.5363457184</v>
      </c>
      <c r="L298" s="45">
        <v>5782810.8200000003</v>
      </c>
      <c r="M298" s="45">
        <v>2179236.0499999998</v>
      </c>
      <c r="N298" s="45">
        <f t="shared" si="83"/>
        <v>7962046.8700000001</v>
      </c>
      <c r="O298" s="45">
        <v>10721743.183607908</v>
      </c>
      <c r="P298" s="45">
        <v>5159381.5870290548</v>
      </c>
      <c r="Q298" s="45">
        <f t="shared" si="84"/>
        <v>15881124.770636963</v>
      </c>
      <c r="R298" s="45" t="str">
        <f t="shared" si="85"/>
        <v>Yes</v>
      </c>
      <c r="S298" s="46" t="str">
        <f t="shared" si="85"/>
        <v>Yes</v>
      </c>
      <c r="T298" s="47">
        <f>ROUND(INDEX(Summary!H:H,MATCH(H:H,Summary!A:A,0)),2)</f>
        <v>0.54</v>
      </c>
      <c r="U298" s="47">
        <f>ROUND(INDEX(Summary!I:I,MATCH(H:H,Summary!A:A,0)),2)</f>
        <v>0.27</v>
      </c>
      <c r="V298" s="81">
        <f t="shared" si="86"/>
        <v>2743165.2867292874</v>
      </c>
      <c r="W298" s="81">
        <f t="shared" si="86"/>
        <v>737699.3514487003</v>
      </c>
      <c r="X298" s="45">
        <f t="shared" si="87"/>
        <v>3480864.6381779877</v>
      </c>
      <c r="Y298" s="45" t="s">
        <v>2752</v>
      </c>
      <c r="Z298" s="45" t="str">
        <f t="shared" si="88"/>
        <v>Yes</v>
      </c>
      <c r="AA298" s="45" t="str">
        <f t="shared" si="88"/>
        <v>Yes</v>
      </c>
      <c r="AB298" s="45" t="str">
        <f t="shared" si="89"/>
        <v>Yes</v>
      </c>
      <c r="AC298" s="82">
        <f t="shared" si="90"/>
        <v>1.0900000000000001</v>
      </c>
      <c r="AD298" s="82">
        <f t="shared" si="90"/>
        <v>1.1299999999999999</v>
      </c>
      <c r="AE298" s="45">
        <f t="shared" si="91"/>
        <v>5537129.9306202289</v>
      </c>
      <c r="AF298" s="45">
        <f t="shared" si="91"/>
        <v>3087408.3968038196</v>
      </c>
      <c r="AG298" s="45">
        <f t="shared" si="92"/>
        <v>8624538.3274240494</v>
      </c>
      <c r="AH298" s="47">
        <f>IFERROR(ROUNDDOWN(INDEX('90% of ACR'!K:K,MATCH(H:H,'90% of ACR'!A:A,0))*IF(I298&gt;0,IF(O298&gt;0,$R$4*MAX(O298-V298,0),0),0)/I298,2),0)</f>
        <v>1.0900000000000001</v>
      </c>
      <c r="AI298" s="82">
        <f>IFERROR(ROUNDDOWN(INDEX('90% of ACR'!R:R,MATCH(H:H,'90% of ACR'!A:A,0))*IF(J298&gt;0,IF(P298&gt;0,$R$4*MAX(P298-W298,0),0),0)/J298,2),0)</f>
        <v>1.1200000000000001</v>
      </c>
      <c r="AJ298" s="45">
        <f t="shared" si="93"/>
        <v>5537129.9306202289</v>
      </c>
      <c r="AK298" s="45">
        <f t="shared" si="93"/>
        <v>3060086.1986020161</v>
      </c>
      <c r="AL298" s="47">
        <f t="shared" si="94"/>
        <v>1.6300000000000001</v>
      </c>
      <c r="AM298" s="47">
        <f t="shared" si="94"/>
        <v>1.3900000000000001</v>
      </c>
      <c r="AN298" s="83">
        <f>IFERROR(INDEX('Fee Calc'!P:P,MATCH(C298,'Fee Calc'!F:F,0)),0)</f>
        <v>12078080.767400233</v>
      </c>
      <c r="AO298" s="83">
        <f>IFERROR(INDEX('Fee Calc'!Q:Q,MATCH(C298,'Fee Calc'!F:F,0)),0)</f>
        <v>743607.14604455943</v>
      </c>
      <c r="AP298" s="83">
        <f t="shared" si="95"/>
        <v>12821687.913444793</v>
      </c>
      <c r="AQ298" s="70">
        <f t="shared" si="96"/>
        <v>5475271.0330541572</v>
      </c>
      <c r="AR298" s="70">
        <f t="shared" si="97"/>
        <v>2737635.5165270786</v>
      </c>
      <c r="AS298" s="70">
        <f t="shared" si="98"/>
        <v>2737635.5165270786</v>
      </c>
    </row>
    <row r="299" spans="1:45">
      <c r="A299" s="104" t="s">
        <v>971</v>
      </c>
      <c r="B299" s="124" t="s">
        <v>971</v>
      </c>
      <c r="C299" s="31" t="s">
        <v>972</v>
      </c>
      <c r="D299" s="125" t="s">
        <v>2696</v>
      </c>
      <c r="E299" s="119" t="s">
        <v>2899</v>
      </c>
      <c r="F299" s="100" t="s">
        <v>2279</v>
      </c>
      <c r="G299" s="100" t="s">
        <v>223</v>
      </c>
      <c r="H299" s="43" t="str">
        <f t="shared" si="81"/>
        <v>Urban Dallas</v>
      </c>
      <c r="I299" s="45">
        <f>INDEX('Fee Calc'!M:M,MATCH(C:C,'Fee Calc'!F:F,0))</f>
        <v>11957130.680762488</v>
      </c>
      <c r="J299" s="45">
        <f>INDEX('Fee Calc'!L:L,MATCH(C:C,'Fee Calc'!F:F,0))</f>
        <v>7936231.2185820797</v>
      </c>
      <c r="K299" s="45">
        <f t="shared" si="82"/>
        <v>19893361.899344567</v>
      </c>
      <c r="L299" s="45">
        <v>-214266.3</v>
      </c>
      <c r="M299" s="45">
        <v>2202224</v>
      </c>
      <c r="N299" s="45">
        <f t="shared" si="83"/>
        <v>1987957.7</v>
      </c>
      <c r="O299" s="45">
        <v>4316490.3013201701</v>
      </c>
      <c r="P299" s="45">
        <v>3532672.5609573978</v>
      </c>
      <c r="Q299" s="45">
        <f t="shared" si="84"/>
        <v>7849162.8622775674</v>
      </c>
      <c r="R299" s="45" t="str">
        <f t="shared" si="85"/>
        <v>Yes</v>
      </c>
      <c r="S299" s="46" t="str">
        <f t="shared" si="85"/>
        <v>Yes</v>
      </c>
      <c r="T299" s="47">
        <f>ROUND(INDEX(Summary!H:H,MATCH(H:H,Summary!A:A,0)),2)</f>
        <v>0.54</v>
      </c>
      <c r="U299" s="47">
        <f>ROUND(INDEX(Summary!I:I,MATCH(H:H,Summary!A:A,0)),2)</f>
        <v>0.27</v>
      </c>
      <c r="V299" s="81">
        <f t="shared" si="86"/>
        <v>6456850.5676117437</v>
      </c>
      <c r="W299" s="81">
        <f t="shared" si="86"/>
        <v>2142782.4290171615</v>
      </c>
      <c r="X299" s="45">
        <f t="shared" si="87"/>
        <v>8599632.9966289047</v>
      </c>
      <c r="Y299" s="45" t="s">
        <v>2752</v>
      </c>
      <c r="Z299" s="45" t="str">
        <f t="shared" si="88"/>
        <v>No</v>
      </c>
      <c r="AA299" s="45" t="str">
        <f t="shared" si="88"/>
        <v>Yes</v>
      </c>
      <c r="AB299" s="45" t="str">
        <f t="shared" si="89"/>
        <v>Yes</v>
      </c>
      <c r="AC299" s="82">
        <f t="shared" si="90"/>
        <v>0</v>
      </c>
      <c r="AD299" s="82">
        <f t="shared" si="90"/>
        <v>0.12</v>
      </c>
      <c r="AE299" s="45">
        <f t="shared" si="91"/>
        <v>0</v>
      </c>
      <c r="AF299" s="45">
        <f t="shared" si="91"/>
        <v>952347.74622984952</v>
      </c>
      <c r="AG299" s="45">
        <f t="shared" si="92"/>
        <v>952347.74622984952</v>
      </c>
      <c r="AH299" s="47">
        <f>IFERROR(ROUNDDOWN(INDEX('90% of ACR'!K:K,MATCH(H:H,'90% of ACR'!A:A,0))*IF(I299&gt;0,IF(O299&gt;0,$R$4*MAX(O299-V299,0),0),0)/I299,2),0)</f>
        <v>0</v>
      </c>
      <c r="AI299" s="82">
        <f>IFERROR(ROUNDDOWN(INDEX('90% of ACR'!R:R,MATCH(H:H,'90% of ACR'!A:A,0))*IF(J299&gt;0,IF(P299&gt;0,$R$4*MAX(P299-W299,0),0),0)/J299,2),0)</f>
        <v>0.12</v>
      </c>
      <c r="AJ299" s="45">
        <f t="shared" si="93"/>
        <v>0</v>
      </c>
      <c r="AK299" s="45">
        <f t="shared" si="93"/>
        <v>952347.74622984952</v>
      </c>
      <c r="AL299" s="47">
        <f t="shared" si="94"/>
        <v>0.54</v>
      </c>
      <c r="AM299" s="47">
        <f t="shared" si="94"/>
        <v>0.39</v>
      </c>
      <c r="AN299" s="83">
        <f>IFERROR(INDEX('Fee Calc'!P:P,MATCH(C299,'Fee Calc'!F:F,0)),0)</f>
        <v>9551980.7428587545</v>
      </c>
      <c r="AO299" s="83">
        <f>IFERROR(INDEX('Fee Calc'!Q:Q,MATCH(C299,'Fee Calc'!F:F,0)),0)</f>
        <v>594403.63415302103</v>
      </c>
      <c r="AP299" s="83">
        <f t="shared" si="95"/>
        <v>10146384.377011776</v>
      </c>
      <c r="AQ299" s="70">
        <f t="shared" si="96"/>
        <v>4332830.8132840926</v>
      </c>
      <c r="AR299" s="70">
        <f t="shared" si="97"/>
        <v>2166415.4066420463</v>
      </c>
      <c r="AS299" s="70">
        <f t="shared" si="98"/>
        <v>2166415.4066420463</v>
      </c>
    </row>
    <row r="300" spans="1:45">
      <c r="A300" s="104" t="s">
        <v>729</v>
      </c>
      <c r="B300" s="124" t="s">
        <v>729</v>
      </c>
      <c r="C300" s="31" t="s">
        <v>730</v>
      </c>
      <c r="D300" s="125" t="s">
        <v>730</v>
      </c>
      <c r="E300" s="119" t="s">
        <v>2330</v>
      </c>
      <c r="F300" s="100" t="s">
        <v>2291</v>
      </c>
      <c r="G300" s="100" t="s">
        <v>227</v>
      </c>
      <c r="H300" s="43" t="str">
        <f t="shared" si="81"/>
        <v>Rural MRSA West</v>
      </c>
      <c r="I300" s="45">
        <f>INDEX('Fee Calc'!M:M,MATCH(C:C,'Fee Calc'!F:F,0))</f>
        <v>89246.894139009848</v>
      </c>
      <c r="J300" s="45">
        <f>INDEX('Fee Calc'!L:L,MATCH(C:C,'Fee Calc'!F:F,0))</f>
        <v>276306.80814374902</v>
      </c>
      <c r="K300" s="45">
        <f t="shared" si="82"/>
        <v>365553.7022827589</v>
      </c>
      <c r="L300" s="45">
        <v>11292.88</v>
      </c>
      <c r="M300" s="45">
        <v>-11432.43</v>
      </c>
      <c r="N300" s="45">
        <f t="shared" si="83"/>
        <v>-139.55000000000109</v>
      </c>
      <c r="O300" s="45">
        <v>-6739.5084893696039</v>
      </c>
      <c r="P300" s="45">
        <v>26068.485276961379</v>
      </c>
      <c r="Q300" s="45">
        <f t="shared" si="84"/>
        <v>19328.976787591775</v>
      </c>
      <c r="R300" s="45" t="str">
        <f t="shared" si="85"/>
        <v>No</v>
      </c>
      <c r="S300" s="46" t="str">
        <f t="shared" si="85"/>
        <v>Yes</v>
      </c>
      <c r="T300" s="47">
        <f>ROUND(INDEX(Summary!H:H,MATCH(H:H,Summary!A:A,0)),2)</f>
        <v>0</v>
      </c>
      <c r="U300" s="47">
        <f>ROUND(INDEX(Summary!I:I,MATCH(H:H,Summary!A:A,0)),2)</f>
        <v>0.2</v>
      </c>
      <c r="V300" s="81">
        <f t="shared" si="86"/>
        <v>0</v>
      </c>
      <c r="W300" s="81">
        <f t="shared" si="86"/>
        <v>55261.361628749808</v>
      </c>
      <c r="X300" s="45">
        <f t="shared" si="87"/>
        <v>55261.361628749808</v>
      </c>
      <c r="Y300" s="45" t="s">
        <v>2752</v>
      </c>
      <c r="Z300" s="45" t="str">
        <f t="shared" si="88"/>
        <v>No</v>
      </c>
      <c r="AA300" s="45" t="str">
        <f t="shared" si="88"/>
        <v>No</v>
      </c>
      <c r="AB300" s="45" t="str">
        <f t="shared" si="89"/>
        <v>No</v>
      </c>
      <c r="AC300" s="82">
        <f t="shared" si="90"/>
        <v>0</v>
      </c>
      <c r="AD300" s="82">
        <f t="shared" si="90"/>
        <v>0</v>
      </c>
      <c r="AE300" s="45">
        <f t="shared" si="91"/>
        <v>0</v>
      </c>
      <c r="AF300" s="45">
        <f t="shared" si="91"/>
        <v>0</v>
      </c>
      <c r="AG300" s="45">
        <f t="shared" si="92"/>
        <v>0</v>
      </c>
      <c r="AH300" s="47">
        <f>IFERROR(ROUNDDOWN(INDEX('90% of ACR'!K:K,MATCH(H:H,'90% of ACR'!A:A,0))*IF(I300&gt;0,IF(O300&gt;0,$R$4*MAX(O300-V300,0),0),0)/I300,2),0)</f>
        <v>0</v>
      </c>
      <c r="AI300" s="82">
        <f>IFERROR(ROUNDDOWN(INDEX('90% of ACR'!R:R,MATCH(H:H,'90% of ACR'!A:A,0))*IF(J300&gt;0,IF(P300&gt;0,$R$4*MAX(P300-W300,0),0),0)/J300,2),0)</f>
        <v>0</v>
      </c>
      <c r="AJ300" s="45">
        <f t="shared" si="93"/>
        <v>0</v>
      </c>
      <c r="AK300" s="45">
        <f t="shared" si="93"/>
        <v>0</v>
      </c>
      <c r="AL300" s="47">
        <f t="shared" si="94"/>
        <v>0</v>
      </c>
      <c r="AM300" s="47">
        <f t="shared" si="94"/>
        <v>0.2</v>
      </c>
      <c r="AN300" s="83">
        <f>IFERROR(INDEX('Fee Calc'!P:P,MATCH(C300,'Fee Calc'!F:F,0)),0)</f>
        <v>55261.361628749808</v>
      </c>
      <c r="AO300" s="83">
        <f>IFERROR(INDEX('Fee Calc'!Q:Q,MATCH(C300,'Fee Calc'!F:F,0)),0)</f>
        <v>3427.2622414863954</v>
      </c>
      <c r="AP300" s="83">
        <f t="shared" si="95"/>
        <v>58688.623870236202</v>
      </c>
      <c r="AQ300" s="70">
        <f t="shared" si="96"/>
        <v>25061.920428554706</v>
      </c>
      <c r="AR300" s="70">
        <f t="shared" si="97"/>
        <v>12530.960214277353</v>
      </c>
      <c r="AS300" s="70">
        <f t="shared" si="98"/>
        <v>12530.960214277353</v>
      </c>
    </row>
    <row r="301" spans="1:45">
      <c r="A301" s="104" t="s">
        <v>850</v>
      </c>
      <c r="B301" s="124" t="s">
        <v>850</v>
      </c>
      <c r="C301" s="31" t="s">
        <v>851</v>
      </c>
      <c r="D301" s="125" t="s">
        <v>851</v>
      </c>
      <c r="E301" s="119" t="s">
        <v>2334</v>
      </c>
      <c r="F301" s="100" t="s">
        <v>2291</v>
      </c>
      <c r="G301" s="100" t="s">
        <v>1548</v>
      </c>
      <c r="H301" s="43" t="str">
        <f t="shared" si="81"/>
        <v>Rural Nueces</v>
      </c>
      <c r="I301" s="45">
        <f>INDEX('Fee Calc'!M:M,MATCH(C:C,'Fee Calc'!F:F,0))</f>
        <v>1051542.4901222177</v>
      </c>
      <c r="J301" s="45">
        <f>INDEX('Fee Calc'!L:L,MATCH(C:C,'Fee Calc'!F:F,0))</f>
        <v>961126.76445317618</v>
      </c>
      <c r="K301" s="45">
        <f t="shared" si="82"/>
        <v>2012669.2545753939</v>
      </c>
      <c r="L301" s="45">
        <v>121196.4</v>
      </c>
      <c r="M301" s="45">
        <v>-79109.960000000006</v>
      </c>
      <c r="N301" s="45">
        <f t="shared" si="83"/>
        <v>42086.439999999988</v>
      </c>
      <c r="O301" s="45">
        <v>93303.555217113229</v>
      </c>
      <c r="P301" s="45">
        <v>221987.19850708562</v>
      </c>
      <c r="Q301" s="45">
        <f t="shared" si="84"/>
        <v>315290.75372419885</v>
      </c>
      <c r="R301" s="45" t="str">
        <f t="shared" si="85"/>
        <v>Yes</v>
      </c>
      <c r="S301" s="46" t="str">
        <f t="shared" si="85"/>
        <v>Yes</v>
      </c>
      <c r="T301" s="47">
        <f>ROUND(INDEX(Summary!H:H,MATCH(H:H,Summary!A:A,0)),2)</f>
        <v>0.17</v>
      </c>
      <c r="U301" s="47">
        <f>ROUND(INDEX(Summary!I:I,MATCH(H:H,Summary!A:A,0)),2)</f>
        <v>0.13</v>
      </c>
      <c r="V301" s="81">
        <f t="shared" si="86"/>
        <v>178762.22332077703</v>
      </c>
      <c r="W301" s="81">
        <f t="shared" si="86"/>
        <v>124946.4793789129</v>
      </c>
      <c r="X301" s="45">
        <f t="shared" si="87"/>
        <v>303708.70269968995</v>
      </c>
      <c r="Y301" s="45" t="s">
        <v>2752</v>
      </c>
      <c r="Z301" s="45" t="str">
        <f t="shared" si="88"/>
        <v>No</v>
      </c>
      <c r="AA301" s="45" t="str">
        <f t="shared" si="88"/>
        <v>Yes</v>
      </c>
      <c r="AB301" s="45" t="str">
        <f t="shared" si="89"/>
        <v>Yes</v>
      </c>
      <c r="AC301" s="82">
        <f t="shared" si="90"/>
        <v>0</v>
      </c>
      <c r="AD301" s="82">
        <f t="shared" si="90"/>
        <v>7.0000000000000007E-2</v>
      </c>
      <c r="AE301" s="45">
        <f t="shared" si="91"/>
        <v>0</v>
      </c>
      <c r="AF301" s="45">
        <f t="shared" si="91"/>
        <v>67278.87351172234</v>
      </c>
      <c r="AG301" s="45">
        <f t="shared" si="92"/>
        <v>67278.87351172234</v>
      </c>
      <c r="AH301" s="47">
        <f>IFERROR(ROUNDDOWN(INDEX('90% of ACR'!K:K,MATCH(H:H,'90% of ACR'!A:A,0))*IF(I301&gt;0,IF(O301&gt;0,$R$4*MAX(O301-V301,0),0),0)/I301,2),0)</f>
        <v>0</v>
      </c>
      <c r="AI301" s="82">
        <f>IFERROR(ROUNDDOWN(INDEX('90% of ACR'!R:R,MATCH(H:H,'90% of ACR'!A:A,0))*IF(J301&gt;0,IF(P301&gt;0,$R$4*MAX(P301-W301,0),0),0)/J301,2),0)</f>
        <v>7.0000000000000007E-2</v>
      </c>
      <c r="AJ301" s="45">
        <f t="shared" si="93"/>
        <v>0</v>
      </c>
      <c r="AK301" s="45">
        <f t="shared" si="93"/>
        <v>67278.87351172234</v>
      </c>
      <c r="AL301" s="47">
        <f t="shared" si="94"/>
        <v>0.17</v>
      </c>
      <c r="AM301" s="47">
        <f t="shared" si="94"/>
        <v>0.2</v>
      </c>
      <c r="AN301" s="83">
        <f>IFERROR(INDEX('Fee Calc'!P:P,MATCH(C301,'Fee Calc'!F:F,0)),0)</f>
        <v>370987.57621141232</v>
      </c>
      <c r="AO301" s="83">
        <f>IFERROR(INDEX('Fee Calc'!Q:Q,MATCH(C301,'Fee Calc'!F:F,0)),0)</f>
        <v>22879.903496629428</v>
      </c>
      <c r="AP301" s="83">
        <f t="shared" si="95"/>
        <v>393867.47970804176</v>
      </c>
      <c r="AQ301" s="70">
        <f t="shared" si="96"/>
        <v>168194.0175946845</v>
      </c>
      <c r="AR301" s="70">
        <f t="shared" si="97"/>
        <v>84097.008797342249</v>
      </c>
      <c r="AS301" s="70">
        <f t="shared" si="98"/>
        <v>84097.008797342249</v>
      </c>
    </row>
    <row r="302" spans="1:45" ht="25.5">
      <c r="A302" s="104" t="s">
        <v>1306</v>
      </c>
      <c r="B302" s="124" t="s">
        <v>1306</v>
      </c>
      <c r="C302" s="31" t="s">
        <v>1307</v>
      </c>
      <c r="D302" s="125" t="s">
        <v>1307</v>
      </c>
      <c r="E302" s="119" t="s">
        <v>2717</v>
      </c>
      <c r="F302" s="100" t="s">
        <v>2529</v>
      </c>
      <c r="G302" s="100" t="s">
        <v>487</v>
      </c>
      <c r="H302" s="43" t="str">
        <f t="shared" si="81"/>
        <v>Non-state-owned IMD Bexar</v>
      </c>
      <c r="I302" s="45">
        <f>INDEX('Fee Calc'!M:M,MATCH(C:C,'Fee Calc'!F:F,0))</f>
        <v>5297196.5814906266</v>
      </c>
      <c r="J302" s="45">
        <f>INDEX('Fee Calc'!L:L,MATCH(C:C,'Fee Calc'!F:F,0))</f>
        <v>0</v>
      </c>
      <c r="K302" s="45">
        <f t="shared" si="82"/>
        <v>5297196.5814906266</v>
      </c>
      <c r="L302" s="45">
        <v>984959.34</v>
      </c>
      <c r="M302" s="45">
        <v>0</v>
      </c>
      <c r="N302" s="45">
        <f t="shared" si="83"/>
        <v>984959.34</v>
      </c>
      <c r="O302" s="45">
        <v>1188979.4760861071</v>
      </c>
      <c r="P302" s="45">
        <v>0</v>
      </c>
      <c r="Q302" s="45">
        <f t="shared" si="84"/>
        <v>1188979.4760861071</v>
      </c>
      <c r="R302" s="45" t="str">
        <f t="shared" si="85"/>
        <v>Yes</v>
      </c>
      <c r="S302" s="46" t="str">
        <f t="shared" si="85"/>
        <v>No</v>
      </c>
      <c r="T302" s="47">
        <f>ROUND(INDEX(Summary!H:H,MATCH(H:H,Summary!A:A,0)),2)</f>
        <v>7.0000000000000007E-2</v>
      </c>
      <c r="U302" s="47">
        <f>ROUND(INDEX(Summary!I:I,MATCH(H:H,Summary!A:A,0)),2)</f>
        <v>0</v>
      </c>
      <c r="V302" s="81">
        <f t="shared" si="86"/>
        <v>370803.76070434391</v>
      </c>
      <c r="W302" s="81">
        <f t="shared" si="86"/>
        <v>0</v>
      </c>
      <c r="X302" s="45">
        <f t="shared" si="87"/>
        <v>370803.76070434391</v>
      </c>
      <c r="Y302" s="45" t="s">
        <v>2752</v>
      </c>
      <c r="Z302" s="45" t="str">
        <f t="shared" si="88"/>
        <v>No</v>
      </c>
      <c r="AA302" s="45" t="str">
        <f t="shared" si="88"/>
        <v>No</v>
      </c>
      <c r="AB302" s="45" t="str">
        <f t="shared" si="89"/>
        <v>Yes</v>
      </c>
      <c r="AC302" s="82">
        <f t="shared" si="90"/>
        <v>0.11</v>
      </c>
      <c r="AD302" s="82">
        <f t="shared" si="90"/>
        <v>0</v>
      </c>
      <c r="AE302" s="45">
        <f t="shared" si="91"/>
        <v>582691.62396396894</v>
      </c>
      <c r="AF302" s="45">
        <f t="shared" si="91"/>
        <v>0</v>
      </c>
      <c r="AG302" s="45">
        <f t="shared" si="92"/>
        <v>582691.62396396894</v>
      </c>
      <c r="AH302" s="47">
        <f>IFERROR(ROUNDDOWN(INDEX('90% of ACR'!K:K,MATCH(H:H,'90% of ACR'!A:A,0))*IF(I302&gt;0,IF(O302&gt;0,$R$4*MAX(O302-V302,0),0),0)/I302,2),0)</f>
        <v>0</v>
      </c>
      <c r="AI302" s="82">
        <f>IFERROR(ROUNDDOWN(INDEX('90% of ACR'!R:R,MATCH(H:H,'90% of ACR'!A:A,0))*IF(J302&gt;0,IF(P302&gt;0,$R$4*MAX(P302-W302,0),0),0)/J302,2),0)</f>
        <v>0</v>
      </c>
      <c r="AJ302" s="45">
        <f t="shared" si="93"/>
        <v>0</v>
      </c>
      <c r="AK302" s="45">
        <f t="shared" si="93"/>
        <v>0</v>
      </c>
      <c r="AL302" s="47">
        <f t="shared" si="94"/>
        <v>7.0000000000000007E-2</v>
      </c>
      <c r="AM302" s="47">
        <f t="shared" si="94"/>
        <v>0</v>
      </c>
      <c r="AN302" s="83">
        <f>IFERROR(INDEX('Fee Calc'!P:P,MATCH(C302,'Fee Calc'!F:F,0)),0)</f>
        <v>370803.76070434391</v>
      </c>
      <c r="AO302" s="83">
        <f>IFERROR(INDEX('Fee Calc'!Q:Q,MATCH(C302,'Fee Calc'!F:F,0)),0)</f>
        <v>22621.98009602098</v>
      </c>
      <c r="AP302" s="83">
        <f t="shared" si="95"/>
        <v>393425.74080036487</v>
      </c>
      <c r="AQ302" s="70">
        <f t="shared" si="96"/>
        <v>168005.38094546142</v>
      </c>
      <c r="AR302" s="70">
        <f t="shared" si="97"/>
        <v>84002.690472730712</v>
      </c>
      <c r="AS302" s="70">
        <f t="shared" si="98"/>
        <v>84002.690472730712</v>
      </c>
    </row>
    <row r="303" spans="1:45" ht="25.5">
      <c r="A303" s="104" t="s">
        <v>1244</v>
      </c>
      <c r="B303" s="124" t="s">
        <v>1244</v>
      </c>
      <c r="C303" s="31" t="s">
        <v>1245</v>
      </c>
      <c r="D303" s="125" t="s">
        <v>1245</v>
      </c>
      <c r="E303" s="119" t="s">
        <v>2721</v>
      </c>
      <c r="F303" s="100" t="s">
        <v>2529</v>
      </c>
      <c r="G303" s="100" t="s">
        <v>1202</v>
      </c>
      <c r="H303" s="43" t="str">
        <f t="shared" si="81"/>
        <v>Non-state-owned IMD Travis</v>
      </c>
      <c r="I303" s="45">
        <f>INDEX('Fee Calc'!M:M,MATCH(C:C,'Fee Calc'!F:F,0))</f>
        <v>1441974.3611301454</v>
      </c>
      <c r="J303" s="45">
        <f>INDEX('Fee Calc'!L:L,MATCH(C:C,'Fee Calc'!F:F,0))</f>
        <v>0</v>
      </c>
      <c r="K303" s="45">
        <f t="shared" si="82"/>
        <v>1441974.3611301454</v>
      </c>
      <c r="L303" s="45">
        <v>414909.3</v>
      </c>
      <c r="M303" s="45">
        <v>0</v>
      </c>
      <c r="N303" s="45">
        <f t="shared" si="83"/>
        <v>414909.3</v>
      </c>
      <c r="O303" s="45">
        <v>523779.50101244706</v>
      </c>
      <c r="P303" s="45">
        <v>0</v>
      </c>
      <c r="Q303" s="45">
        <f t="shared" si="84"/>
        <v>523779.50101244706</v>
      </c>
      <c r="R303" s="45" t="str">
        <f t="shared" si="85"/>
        <v>Yes</v>
      </c>
      <c r="S303" s="46" t="str">
        <f t="shared" si="85"/>
        <v>No</v>
      </c>
      <c r="T303" s="47">
        <f>ROUND(INDEX(Summary!H:H,MATCH(H:H,Summary!A:A,0)),2)</f>
        <v>0.28000000000000003</v>
      </c>
      <c r="U303" s="47">
        <f>ROUND(INDEX(Summary!I:I,MATCH(H:H,Summary!A:A,0)),2)</f>
        <v>0</v>
      </c>
      <c r="V303" s="81">
        <f t="shared" si="86"/>
        <v>403752.82111644075</v>
      </c>
      <c r="W303" s="81">
        <f t="shared" si="86"/>
        <v>0</v>
      </c>
      <c r="X303" s="45">
        <f t="shared" si="87"/>
        <v>403752.82111644075</v>
      </c>
      <c r="Y303" s="45" t="s">
        <v>2752</v>
      </c>
      <c r="Z303" s="45" t="str">
        <f t="shared" si="88"/>
        <v>No</v>
      </c>
      <c r="AA303" s="45" t="str">
        <f t="shared" si="88"/>
        <v>No</v>
      </c>
      <c r="AB303" s="45" t="str">
        <f t="shared" si="89"/>
        <v>Yes</v>
      </c>
      <c r="AC303" s="82">
        <f t="shared" si="90"/>
        <v>0.06</v>
      </c>
      <c r="AD303" s="82">
        <f t="shared" si="90"/>
        <v>0</v>
      </c>
      <c r="AE303" s="45">
        <f t="shared" si="91"/>
        <v>86518.461667808719</v>
      </c>
      <c r="AF303" s="45">
        <f t="shared" si="91"/>
        <v>0</v>
      </c>
      <c r="AG303" s="45">
        <f t="shared" si="92"/>
        <v>86518.461667808719</v>
      </c>
      <c r="AH303" s="47">
        <f>IFERROR(ROUNDDOWN(INDEX('90% of ACR'!K:K,MATCH(H:H,'90% of ACR'!A:A,0))*IF(I303&gt;0,IF(O303&gt;0,$R$4*MAX(O303-V303,0),0),0)/I303,2),0)</f>
        <v>0</v>
      </c>
      <c r="AI303" s="82">
        <f>IFERROR(ROUNDDOWN(INDEX('90% of ACR'!R:R,MATCH(H:H,'90% of ACR'!A:A,0))*IF(J303&gt;0,IF(P303&gt;0,$R$4*MAX(P303-W303,0),0),0)/J303,2),0)</f>
        <v>0</v>
      </c>
      <c r="AJ303" s="45">
        <f t="shared" si="93"/>
        <v>0</v>
      </c>
      <c r="AK303" s="45">
        <f t="shared" si="93"/>
        <v>0</v>
      </c>
      <c r="AL303" s="47">
        <f t="shared" si="94"/>
        <v>0.28000000000000003</v>
      </c>
      <c r="AM303" s="47">
        <f t="shared" si="94"/>
        <v>0</v>
      </c>
      <c r="AN303" s="83">
        <f>IFERROR(INDEX('Fee Calc'!P:P,MATCH(C303,'Fee Calc'!F:F,0)),0)</f>
        <v>403752.82111644075</v>
      </c>
      <c r="AO303" s="83">
        <f>IFERROR(INDEX('Fee Calc'!Q:Q,MATCH(C303,'Fee Calc'!F:F,0)),0)</f>
        <v>24632.134975273573</v>
      </c>
      <c r="AP303" s="83">
        <f t="shared" si="95"/>
        <v>428384.95609171432</v>
      </c>
      <c r="AQ303" s="70">
        <f t="shared" si="96"/>
        <v>182934.08456975693</v>
      </c>
      <c r="AR303" s="70">
        <f t="shared" si="97"/>
        <v>91467.042284878466</v>
      </c>
      <c r="AS303" s="70">
        <f t="shared" si="98"/>
        <v>91467.042284878466</v>
      </c>
    </row>
    <row r="304" spans="1:45">
      <c r="A304" s="104" t="s">
        <v>1559</v>
      </c>
      <c r="B304" s="124" t="s">
        <v>1559</v>
      </c>
      <c r="C304" s="31" t="s">
        <v>1600</v>
      </c>
      <c r="D304" s="125" t="s">
        <v>1600</v>
      </c>
      <c r="E304" s="119" t="s">
        <v>2641</v>
      </c>
      <c r="F304" s="100" t="s">
        <v>2279</v>
      </c>
      <c r="G304" s="100" t="s">
        <v>1189</v>
      </c>
      <c r="H304" s="43" t="str">
        <f t="shared" si="81"/>
        <v>Urban El Paso</v>
      </c>
      <c r="I304" s="45">
        <f>INDEX('Fee Calc'!M:M,MATCH(C:C,'Fee Calc'!F:F,0))</f>
        <v>20083555.157584924</v>
      </c>
      <c r="J304" s="45">
        <f>INDEX('Fee Calc'!L:L,MATCH(C:C,'Fee Calc'!F:F,0))</f>
        <v>8664268.4381574392</v>
      </c>
      <c r="K304" s="45">
        <f t="shared" si="82"/>
        <v>28747823.595742363</v>
      </c>
      <c r="L304" s="45">
        <v>5940330.0999999996</v>
      </c>
      <c r="M304" s="45">
        <v>5050776.8899999997</v>
      </c>
      <c r="N304" s="45">
        <f t="shared" si="83"/>
        <v>10991106.989999998</v>
      </c>
      <c r="O304" s="45">
        <v>39827555.602333076</v>
      </c>
      <c r="P304" s="45">
        <v>11109148.834520955</v>
      </c>
      <c r="Q304" s="45">
        <f t="shared" si="84"/>
        <v>50936704.436854035</v>
      </c>
      <c r="R304" s="45" t="str">
        <f t="shared" si="85"/>
        <v>Yes</v>
      </c>
      <c r="S304" s="46" t="str">
        <f t="shared" si="85"/>
        <v>Yes</v>
      </c>
      <c r="T304" s="47">
        <f>ROUND(INDEX(Summary!H:H,MATCH(H:H,Summary!A:A,0)),2)</f>
        <v>0.09</v>
      </c>
      <c r="U304" s="47">
        <f>ROUND(INDEX(Summary!I:I,MATCH(H:H,Summary!A:A,0)),2)</f>
        <v>0.45</v>
      </c>
      <c r="V304" s="81">
        <f t="shared" si="86"/>
        <v>1807519.9641826432</v>
      </c>
      <c r="W304" s="81">
        <f t="shared" si="86"/>
        <v>3898920.7971708477</v>
      </c>
      <c r="X304" s="45">
        <f t="shared" si="87"/>
        <v>5706440.7613534909</v>
      </c>
      <c r="Y304" s="45" t="s">
        <v>2752</v>
      </c>
      <c r="Z304" s="45" t="str">
        <f t="shared" si="88"/>
        <v>Yes</v>
      </c>
      <c r="AA304" s="45" t="str">
        <f t="shared" si="88"/>
        <v>Yes</v>
      </c>
      <c r="AB304" s="45" t="str">
        <f t="shared" si="89"/>
        <v>Yes</v>
      </c>
      <c r="AC304" s="82">
        <f t="shared" si="90"/>
        <v>1.32</v>
      </c>
      <c r="AD304" s="82">
        <f t="shared" si="90"/>
        <v>0.57999999999999996</v>
      </c>
      <c r="AE304" s="45">
        <f t="shared" si="91"/>
        <v>26510292.808012102</v>
      </c>
      <c r="AF304" s="45">
        <f t="shared" si="91"/>
        <v>5025275.6941313148</v>
      </c>
      <c r="AG304" s="45">
        <f t="shared" si="92"/>
        <v>31535568.502143417</v>
      </c>
      <c r="AH304" s="47">
        <f>IFERROR(ROUNDDOWN(INDEX('90% of ACR'!K:K,MATCH(H:H,'90% of ACR'!A:A,0))*IF(I304&gt;0,IF(O304&gt;0,$R$4*MAX(O304-V304,0),0),0)/I304,2),0)</f>
        <v>1.27</v>
      </c>
      <c r="AI304" s="82">
        <f>IFERROR(ROUNDDOWN(INDEX('90% of ACR'!R:R,MATCH(H:H,'90% of ACR'!A:A,0))*IF(J304&gt;0,IF(P304&gt;0,$R$4*MAX(P304-W304,0),0),0)/J304,2),0)</f>
        <v>0.56999999999999995</v>
      </c>
      <c r="AJ304" s="45">
        <f t="shared" si="93"/>
        <v>25506115.050132856</v>
      </c>
      <c r="AK304" s="45">
        <f t="shared" si="93"/>
        <v>4938633.0097497404</v>
      </c>
      <c r="AL304" s="47">
        <f t="shared" si="94"/>
        <v>1.36</v>
      </c>
      <c r="AM304" s="47">
        <f t="shared" si="94"/>
        <v>1.02</v>
      </c>
      <c r="AN304" s="83">
        <f>IFERROR(INDEX('Fee Calc'!P:P,MATCH(C304,'Fee Calc'!F:F,0)),0)</f>
        <v>36151188.821236089</v>
      </c>
      <c r="AO304" s="83">
        <f>IFERROR(INDEX('Fee Calc'!Q:Q,MATCH(C304,'Fee Calc'!F:F,0)),0)</f>
        <v>2215928.7727218037</v>
      </c>
      <c r="AP304" s="83">
        <f t="shared" si="95"/>
        <v>38367117.593957894</v>
      </c>
      <c r="AQ304" s="70">
        <f t="shared" si="96"/>
        <v>16383986.960383028</v>
      </c>
      <c r="AR304" s="70">
        <f t="shared" si="97"/>
        <v>8191993.4801915139</v>
      </c>
      <c r="AS304" s="70">
        <f t="shared" si="98"/>
        <v>8191993.4801915139</v>
      </c>
    </row>
    <row r="305" spans="1:45">
      <c r="A305" s="104" t="s">
        <v>1560</v>
      </c>
      <c r="B305" s="124" t="s">
        <v>1560</v>
      </c>
      <c r="C305" s="31" t="s">
        <v>1616</v>
      </c>
      <c r="D305" s="125" t="s">
        <v>1616</v>
      </c>
      <c r="E305" s="119" t="s">
        <v>2660</v>
      </c>
      <c r="F305" s="100" t="s">
        <v>2279</v>
      </c>
      <c r="G305" s="100" t="s">
        <v>1189</v>
      </c>
      <c r="H305" s="43" t="str">
        <f t="shared" si="81"/>
        <v>Urban El Paso</v>
      </c>
      <c r="I305" s="45">
        <f>INDEX('Fee Calc'!M:M,MATCH(C:C,'Fee Calc'!F:F,0))</f>
        <v>1800435.1225920492</v>
      </c>
      <c r="J305" s="45">
        <f>INDEX('Fee Calc'!L:L,MATCH(C:C,'Fee Calc'!F:F,0))</f>
        <v>1475992.4133900707</v>
      </c>
      <c r="K305" s="45">
        <f t="shared" si="82"/>
        <v>3276427.5359821199</v>
      </c>
      <c r="L305" s="45">
        <v>1292086.44</v>
      </c>
      <c r="M305" s="45">
        <v>1745125.02</v>
      </c>
      <c r="N305" s="45">
        <f t="shared" si="83"/>
        <v>3037211.46</v>
      </c>
      <c r="O305" s="45">
        <v>7772148.5177563988</v>
      </c>
      <c r="P305" s="45">
        <v>2756704.4002289171</v>
      </c>
      <c r="Q305" s="45">
        <f t="shared" si="84"/>
        <v>10528852.917985316</v>
      </c>
      <c r="R305" s="45" t="str">
        <f t="shared" si="85"/>
        <v>Yes</v>
      </c>
      <c r="S305" s="46" t="str">
        <f t="shared" si="85"/>
        <v>Yes</v>
      </c>
      <c r="T305" s="47">
        <f>ROUND(INDEX(Summary!H:H,MATCH(H:H,Summary!A:A,0)),2)</f>
        <v>0.09</v>
      </c>
      <c r="U305" s="47">
        <f>ROUND(INDEX(Summary!I:I,MATCH(H:H,Summary!A:A,0)),2)</f>
        <v>0.45</v>
      </c>
      <c r="V305" s="81">
        <f t="shared" si="86"/>
        <v>162039.16103328441</v>
      </c>
      <c r="W305" s="81">
        <f t="shared" si="86"/>
        <v>664196.58602553187</v>
      </c>
      <c r="X305" s="45">
        <f t="shared" si="87"/>
        <v>826235.74705881625</v>
      </c>
      <c r="Y305" s="45" t="s">
        <v>2752</v>
      </c>
      <c r="Z305" s="45" t="str">
        <f t="shared" si="88"/>
        <v>Yes</v>
      </c>
      <c r="AA305" s="45" t="str">
        <f t="shared" si="88"/>
        <v>Yes</v>
      </c>
      <c r="AB305" s="45" t="str">
        <f t="shared" si="89"/>
        <v>Yes</v>
      </c>
      <c r="AC305" s="82">
        <f t="shared" si="90"/>
        <v>2.94</v>
      </c>
      <c r="AD305" s="82">
        <f t="shared" si="90"/>
        <v>0.99</v>
      </c>
      <c r="AE305" s="45">
        <f t="shared" si="91"/>
        <v>5293279.2604206242</v>
      </c>
      <c r="AF305" s="45">
        <f t="shared" si="91"/>
        <v>1461232.4892561699</v>
      </c>
      <c r="AG305" s="45">
        <f t="shared" si="92"/>
        <v>6754511.7496767938</v>
      </c>
      <c r="AH305" s="47">
        <f>IFERROR(ROUNDDOWN(INDEX('90% of ACR'!K:K,MATCH(H:H,'90% of ACR'!A:A,0))*IF(I305&gt;0,IF(O305&gt;0,$R$4*MAX(O305-V305,0),0),0)/I305,2),0)</f>
        <v>2.83</v>
      </c>
      <c r="AI305" s="82">
        <f>IFERROR(ROUNDDOWN(INDEX('90% of ACR'!R:R,MATCH(H:H,'90% of ACR'!A:A,0))*IF(J305&gt;0,IF(P305&gt;0,$R$4*MAX(P305-W305,0),0),0)/J305,2),0)</f>
        <v>0.98</v>
      </c>
      <c r="AJ305" s="45">
        <f t="shared" si="93"/>
        <v>5095231.3969354993</v>
      </c>
      <c r="AK305" s="45">
        <f t="shared" si="93"/>
        <v>1446472.5651222693</v>
      </c>
      <c r="AL305" s="47">
        <f t="shared" si="94"/>
        <v>2.92</v>
      </c>
      <c r="AM305" s="47">
        <f t="shared" si="94"/>
        <v>1.43</v>
      </c>
      <c r="AN305" s="83">
        <f>IFERROR(INDEX('Fee Calc'!P:P,MATCH(C305,'Fee Calc'!F:F,0)),0)</f>
        <v>7367939.7091165837</v>
      </c>
      <c r="AO305" s="83">
        <f>IFERROR(INDEX('Fee Calc'!Q:Q,MATCH(C305,'Fee Calc'!F:F,0)),0)</f>
        <v>463292.8243531909</v>
      </c>
      <c r="AP305" s="83">
        <f t="shared" si="95"/>
        <v>7831232.5334697748</v>
      </c>
      <c r="AQ305" s="70">
        <f t="shared" si="96"/>
        <v>3344186.8912326647</v>
      </c>
      <c r="AR305" s="70">
        <f t="shared" si="97"/>
        <v>1672093.4456163323</v>
      </c>
      <c r="AS305" s="70">
        <f t="shared" si="98"/>
        <v>1672093.4456163323</v>
      </c>
    </row>
    <row r="306" spans="1:45">
      <c r="A306" s="104" t="s">
        <v>1080</v>
      </c>
      <c r="B306" s="124" t="s">
        <v>1080</v>
      </c>
      <c r="C306" s="31" t="s">
        <v>1081</v>
      </c>
      <c r="D306" s="125" t="s">
        <v>1081</v>
      </c>
      <c r="E306" s="119" t="s">
        <v>2650</v>
      </c>
      <c r="F306" s="100" t="s">
        <v>2279</v>
      </c>
      <c r="G306" s="100" t="s">
        <v>1189</v>
      </c>
      <c r="H306" s="43" t="str">
        <f t="shared" si="81"/>
        <v>Urban El Paso</v>
      </c>
      <c r="I306" s="45">
        <f>INDEX('Fee Calc'!M:M,MATCH(C:C,'Fee Calc'!F:F,0))</f>
        <v>13322898.108324263</v>
      </c>
      <c r="J306" s="45">
        <f>INDEX('Fee Calc'!L:L,MATCH(C:C,'Fee Calc'!F:F,0))</f>
        <v>6826728.125781646</v>
      </c>
      <c r="K306" s="45">
        <f t="shared" si="82"/>
        <v>20149626.234105907</v>
      </c>
      <c r="L306" s="45">
        <v>4696124.5</v>
      </c>
      <c r="M306" s="45">
        <v>2869686.16</v>
      </c>
      <c r="N306" s="45">
        <f t="shared" si="83"/>
        <v>7565810.6600000001</v>
      </c>
      <c r="O306" s="45">
        <v>30526393.81204943</v>
      </c>
      <c r="P306" s="45">
        <v>7829982.821559269</v>
      </c>
      <c r="Q306" s="45">
        <f t="shared" si="84"/>
        <v>38356376.633608699</v>
      </c>
      <c r="R306" s="45" t="str">
        <f t="shared" si="85"/>
        <v>Yes</v>
      </c>
      <c r="S306" s="46" t="str">
        <f t="shared" si="85"/>
        <v>Yes</v>
      </c>
      <c r="T306" s="47">
        <f>ROUND(INDEX(Summary!H:H,MATCH(H:H,Summary!A:A,0)),2)</f>
        <v>0.09</v>
      </c>
      <c r="U306" s="47">
        <f>ROUND(INDEX(Summary!I:I,MATCH(H:H,Summary!A:A,0)),2)</f>
        <v>0.45</v>
      </c>
      <c r="V306" s="81">
        <f t="shared" si="86"/>
        <v>1199060.8297491837</v>
      </c>
      <c r="W306" s="81">
        <f t="shared" si="86"/>
        <v>3072027.656601741</v>
      </c>
      <c r="X306" s="45">
        <f t="shared" si="87"/>
        <v>4271088.4863509247</v>
      </c>
      <c r="Y306" s="45" t="s">
        <v>2752</v>
      </c>
      <c r="Z306" s="45" t="str">
        <f t="shared" si="88"/>
        <v>Yes</v>
      </c>
      <c r="AA306" s="45" t="str">
        <f t="shared" si="88"/>
        <v>Yes</v>
      </c>
      <c r="AB306" s="45" t="str">
        <f t="shared" si="89"/>
        <v>Yes</v>
      </c>
      <c r="AC306" s="82">
        <f t="shared" si="90"/>
        <v>1.53</v>
      </c>
      <c r="AD306" s="82">
        <f t="shared" si="90"/>
        <v>0.49</v>
      </c>
      <c r="AE306" s="45">
        <f t="shared" si="91"/>
        <v>20384034.105736122</v>
      </c>
      <c r="AF306" s="45">
        <f t="shared" si="91"/>
        <v>3345096.7816330064</v>
      </c>
      <c r="AG306" s="45">
        <f t="shared" si="92"/>
        <v>23729130.887369126</v>
      </c>
      <c r="AH306" s="47">
        <f>IFERROR(ROUNDDOWN(INDEX('90% of ACR'!K:K,MATCH(H:H,'90% of ACR'!A:A,0))*IF(I306&gt;0,IF(O306&gt;0,$R$4*MAX(O306-V306,0),0),0)/I306,2),0)</f>
        <v>1.47</v>
      </c>
      <c r="AI306" s="82">
        <f>IFERROR(ROUNDDOWN(INDEX('90% of ACR'!R:R,MATCH(H:H,'90% of ACR'!A:A,0))*IF(J306&gt;0,IF(P306&gt;0,$R$4*MAX(P306-W306,0),0),0)/J306,2),0)</f>
        <v>0.48</v>
      </c>
      <c r="AJ306" s="45">
        <f t="shared" si="93"/>
        <v>19584660.219236668</v>
      </c>
      <c r="AK306" s="45">
        <f t="shared" si="93"/>
        <v>3276829.5003751898</v>
      </c>
      <c r="AL306" s="47">
        <f t="shared" si="94"/>
        <v>1.56</v>
      </c>
      <c r="AM306" s="47">
        <f t="shared" si="94"/>
        <v>0.92999999999999994</v>
      </c>
      <c r="AN306" s="83">
        <f>IFERROR(INDEX('Fee Calc'!P:P,MATCH(C306,'Fee Calc'!F:F,0)),0)</f>
        <v>27132578.205962781</v>
      </c>
      <c r="AO306" s="83">
        <f>IFERROR(INDEX('Fee Calc'!Q:Q,MATCH(C306,'Fee Calc'!F:F,0)),0)</f>
        <v>1666768.1690767824</v>
      </c>
      <c r="AP306" s="83">
        <f t="shared" si="95"/>
        <v>28799346.375039563</v>
      </c>
      <c r="AQ306" s="70">
        <f t="shared" si="96"/>
        <v>12298242.481225895</v>
      </c>
      <c r="AR306" s="70">
        <f t="shared" si="97"/>
        <v>6149121.2406129474</v>
      </c>
      <c r="AS306" s="70">
        <f t="shared" si="98"/>
        <v>6149121.2406129474</v>
      </c>
    </row>
    <row r="307" spans="1:45">
      <c r="A307" s="104" t="s">
        <v>1083</v>
      </c>
      <c r="B307" s="124" t="s">
        <v>1083</v>
      </c>
      <c r="C307" s="31" t="s">
        <v>1084</v>
      </c>
      <c r="D307" s="125" t="s">
        <v>1084</v>
      </c>
      <c r="E307" s="119" t="s">
        <v>2652</v>
      </c>
      <c r="F307" s="100" t="s">
        <v>2279</v>
      </c>
      <c r="G307" s="100" t="s">
        <v>1189</v>
      </c>
      <c r="H307" s="43" t="str">
        <f t="shared" si="81"/>
        <v>Urban El Paso</v>
      </c>
      <c r="I307" s="45">
        <f>INDEX('Fee Calc'!M:M,MATCH(C:C,'Fee Calc'!F:F,0))</f>
        <v>1772287.9258386476</v>
      </c>
      <c r="J307" s="45">
        <f>INDEX('Fee Calc'!L:L,MATCH(C:C,'Fee Calc'!F:F,0))</f>
        <v>1394307.7608356993</v>
      </c>
      <c r="K307" s="45">
        <f t="shared" si="82"/>
        <v>3166595.6866743471</v>
      </c>
      <c r="L307" s="45">
        <v>824241.31</v>
      </c>
      <c r="M307" s="45">
        <v>750435.89</v>
      </c>
      <c r="N307" s="45">
        <f t="shared" si="83"/>
        <v>1574677.2000000002</v>
      </c>
      <c r="O307" s="45">
        <v>5253363.8054582104</v>
      </c>
      <c r="P307" s="45">
        <v>1765881.2409361706</v>
      </c>
      <c r="Q307" s="45">
        <f t="shared" si="84"/>
        <v>7019245.0463943807</v>
      </c>
      <c r="R307" s="45" t="str">
        <f t="shared" si="85"/>
        <v>Yes</v>
      </c>
      <c r="S307" s="46" t="str">
        <f t="shared" si="85"/>
        <v>Yes</v>
      </c>
      <c r="T307" s="47">
        <f>ROUND(INDEX(Summary!H:H,MATCH(H:H,Summary!A:A,0)),2)</f>
        <v>0.09</v>
      </c>
      <c r="U307" s="47">
        <f>ROUND(INDEX(Summary!I:I,MATCH(H:H,Summary!A:A,0)),2)</f>
        <v>0.45</v>
      </c>
      <c r="V307" s="81">
        <f t="shared" si="86"/>
        <v>159505.91332547829</v>
      </c>
      <c r="W307" s="81">
        <f t="shared" si="86"/>
        <v>627438.49237606465</v>
      </c>
      <c r="X307" s="45">
        <f t="shared" si="87"/>
        <v>786944.40570154297</v>
      </c>
      <c r="Y307" s="45" t="s">
        <v>2752</v>
      </c>
      <c r="Z307" s="45" t="str">
        <f t="shared" si="88"/>
        <v>Yes</v>
      </c>
      <c r="AA307" s="45" t="str">
        <f t="shared" si="88"/>
        <v>Yes</v>
      </c>
      <c r="AB307" s="45" t="str">
        <f t="shared" si="89"/>
        <v>Yes</v>
      </c>
      <c r="AC307" s="82">
        <f t="shared" si="90"/>
        <v>2</v>
      </c>
      <c r="AD307" s="82">
        <f t="shared" si="90"/>
        <v>0.56999999999999995</v>
      </c>
      <c r="AE307" s="45">
        <f t="shared" si="91"/>
        <v>3544575.8516772953</v>
      </c>
      <c r="AF307" s="45">
        <f t="shared" si="91"/>
        <v>794755.42367634852</v>
      </c>
      <c r="AG307" s="45">
        <f t="shared" si="92"/>
        <v>4339331.275353644</v>
      </c>
      <c r="AH307" s="47">
        <f>IFERROR(ROUNDDOWN(INDEX('90% of ACR'!K:K,MATCH(H:H,'90% of ACR'!A:A,0))*IF(I307&gt;0,IF(O307&gt;0,$R$4*MAX(O307-V307,0),0),0)/I307,2),0)</f>
        <v>1.92</v>
      </c>
      <c r="AI307" s="82">
        <f>IFERROR(ROUNDDOWN(INDEX('90% of ACR'!R:R,MATCH(H:H,'90% of ACR'!A:A,0))*IF(J307&gt;0,IF(P307&gt;0,$R$4*MAX(P307-W307,0),0),0)/J307,2),0)</f>
        <v>0.56000000000000005</v>
      </c>
      <c r="AJ307" s="45">
        <f t="shared" si="93"/>
        <v>3402792.8176102033</v>
      </c>
      <c r="AK307" s="45">
        <f t="shared" si="93"/>
        <v>780812.34606799169</v>
      </c>
      <c r="AL307" s="47">
        <f t="shared" si="94"/>
        <v>2.0099999999999998</v>
      </c>
      <c r="AM307" s="47">
        <f t="shared" si="94"/>
        <v>1.01</v>
      </c>
      <c r="AN307" s="83">
        <f>IFERROR(INDEX('Fee Calc'!P:P,MATCH(C307,'Fee Calc'!F:F,0)),0)</f>
        <v>4970549.5693797376</v>
      </c>
      <c r="AO307" s="83">
        <f>IFERROR(INDEX('Fee Calc'!Q:Q,MATCH(C307,'Fee Calc'!F:F,0)),0)</f>
        <v>307963.40002977569</v>
      </c>
      <c r="AP307" s="83">
        <f t="shared" si="95"/>
        <v>5278512.9694095133</v>
      </c>
      <c r="AQ307" s="70">
        <f t="shared" si="96"/>
        <v>2254093.950352883</v>
      </c>
      <c r="AR307" s="70">
        <f t="shared" si="97"/>
        <v>1127046.9751764415</v>
      </c>
      <c r="AS307" s="70">
        <f t="shared" si="98"/>
        <v>1127046.9751764415</v>
      </c>
    </row>
    <row r="308" spans="1:45">
      <c r="A308" s="104" t="s">
        <v>908</v>
      </c>
      <c r="B308" s="124" t="s">
        <v>908</v>
      </c>
      <c r="C308" s="31" t="s">
        <v>909</v>
      </c>
      <c r="D308" s="125" t="s">
        <v>909</v>
      </c>
      <c r="E308" s="119" t="s">
        <v>2653</v>
      </c>
      <c r="F308" s="100" t="s">
        <v>2291</v>
      </c>
      <c r="G308" s="100" t="s">
        <v>310</v>
      </c>
      <c r="H308" s="43" t="str">
        <f t="shared" si="81"/>
        <v>Rural MRSA Northeast</v>
      </c>
      <c r="I308" s="45">
        <f>INDEX('Fee Calc'!M:M,MATCH(C:C,'Fee Calc'!F:F,0))</f>
        <v>5576287.9940904304</v>
      </c>
      <c r="J308" s="45">
        <f>INDEX('Fee Calc'!L:L,MATCH(C:C,'Fee Calc'!F:F,0))</f>
        <v>2750832.32695544</v>
      </c>
      <c r="K308" s="45">
        <f t="shared" si="82"/>
        <v>8327120.32104587</v>
      </c>
      <c r="L308" s="45">
        <v>-732564.68</v>
      </c>
      <c r="M308" s="45">
        <v>1640897.12</v>
      </c>
      <c r="N308" s="45">
        <f t="shared" si="83"/>
        <v>908332.44000000006</v>
      </c>
      <c r="O308" s="45">
        <v>1684292.7634173315</v>
      </c>
      <c r="P308" s="45">
        <v>2374035.52746752</v>
      </c>
      <c r="Q308" s="45">
        <f t="shared" si="84"/>
        <v>4058328.2908848515</v>
      </c>
      <c r="R308" s="45" t="str">
        <f t="shared" si="85"/>
        <v>Yes</v>
      </c>
      <c r="S308" s="46" t="str">
        <f t="shared" si="85"/>
        <v>Yes</v>
      </c>
      <c r="T308" s="47">
        <f>ROUND(INDEX(Summary!H:H,MATCH(H:H,Summary!A:A,0)),2)</f>
        <v>0</v>
      </c>
      <c r="U308" s="47">
        <f>ROUND(INDEX(Summary!I:I,MATCH(H:H,Summary!A:A,0)),2)</f>
        <v>0.3</v>
      </c>
      <c r="V308" s="81">
        <f t="shared" si="86"/>
        <v>0</v>
      </c>
      <c r="W308" s="81">
        <f t="shared" si="86"/>
        <v>825249.69808663195</v>
      </c>
      <c r="X308" s="45">
        <f t="shared" si="87"/>
        <v>825249.69808663195</v>
      </c>
      <c r="Y308" s="45" t="s">
        <v>2752</v>
      </c>
      <c r="Z308" s="45" t="str">
        <f t="shared" si="88"/>
        <v>Yes</v>
      </c>
      <c r="AA308" s="45" t="str">
        <f t="shared" si="88"/>
        <v>Yes</v>
      </c>
      <c r="AB308" s="45" t="str">
        <f t="shared" si="89"/>
        <v>Yes</v>
      </c>
      <c r="AC308" s="82">
        <f t="shared" si="90"/>
        <v>0.21</v>
      </c>
      <c r="AD308" s="82">
        <f t="shared" si="90"/>
        <v>0.39</v>
      </c>
      <c r="AE308" s="45">
        <f t="shared" si="91"/>
        <v>1171020.4787589903</v>
      </c>
      <c r="AF308" s="45">
        <f t="shared" si="91"/>
        <v>1072824.6075126217</v>
      </c>
      <c r="AG308" s="45">
        <f t="shared" si="92"/>
        <v>2243845.086271612</v>
      </c>
      <c r="AH308" s="47">
        <f>IFERROR(ROUNDDOWN(INDEX('90% of ACR'!K:K,MATCH(H:H,'90% of ACR'!A:A,0))*IF(I308&gt;0,IF(O308&gt;0,$R$4*MAX(O308-V308,0),0),0)/I308,2),0)</f>
        <v>0.14000000000000001</v>
      </c>
      <c r="AI308" s="82">
        <f>IFERROR(ROUNDDOWN(INDEX('90% of ACR'!R:R,MATCH(H:H,'90% of ACR'!A:A,0))*IF(J308&gt;0,IF(P308&gt;0,$R$4*MAX(P308-W308,0),0),0)/J308,2),0)</f>
        <v>0.39</v>
      </c>
      <c r="AJ308" s="45">
        <f t="shared" si="93"/>
        <v>780680.31917266035</v>
      </c>
      <c r="AK308" s="45">
        <f t="shared" si="93"/>
        <v>1072824.6075126217</v>
      </c>
      <c r="AL308" s="47">
        <f t="shared" si="94"/>
        <v>0.14000000000000001</v>
      </c>
      <c r="AM308" s="47">
        <f t="shared" si="94"/>
        <v>0.69</v>
      </c>
      <c r="AN308" s="83">
        <f>IFERROR(INDEX('Fee Calc'!P:P,MATCH(C308,'Fee Calc'!F:F,0)),0)</f>
        <v>2678754.6247719135</v>
      </c>
      <c r="AO308" s="83">
        <f>IFERROR(INDEX('Fee Calc'!Q:Q,MATCH(C308,'Fee Calc'!F:F,0)),0)</f>
        <v>165066.27378873658</v>
      </c>
      <c r="AP308" s="83">
        <f t="shared" si="95"/>
        <v>2843820.8985606502</v>
      </c>
      <c r="AQ308" s="70">
        <f t="shared" si="96"/>
        <v>1214402.5259541515</v>
      </c>
      <c r="AR308" s="70">
        <f t="shared" si="97"/>
        <v>607201.26297707576</v>
      </c>
      <c r="AS308" s="70">
        <f t="shared" si="98"/>
        <v>607201.26297707576</v>
      </c>
    </row>
    <row r="309" spans="1:45">
      <c r="A309" s="104" t="s">
        <v>362</v>
      </c>
      <c r="B309" s="124" t="s">
        <v>362</v>
      </c>
      <c r="C309" s="31" t="s">
        <v>363</v>
      </c>
      <c r="D309" s="125" t="s">
        <v>363</v>
      </c>
      <c r="E309" s="119" t="s">
        <v>2654</v>
      </c>
      <c r="F309" s="100" t="s">
        <v>2279</v>
      </c>
      <c r="G309" s="100" t="s">
        <v>487</v>
      </c>
      <c r="H309" s="43" t="str">
        <f t="shared" si="81"/>
        <v>Urban Bexar</v>
      </c>
      <c r="I309" s="45">
        <f>INDEX('Fee Calc'!M:M,MATCH(C:C,'Fee Calc'!F:F,0))</f>
        <v>1657203.5697874059</v>
      </c>
      <c r="J309" s="45">
        <f>INDEX('Fee Calc'!L:L,MATCH(C:C,'Fee Calc'!F:F,0))</f>
        <v>1212763.0471113594</v>
      </c>
      <c r="K309" s="45">
        <f t="shared" si="82"/>
        <v>2869966.6168987653</v>
      </c>
      <c r="L309" s="45">
        <v>749038.16</v>
      </c>
      <c r="M309" s="45">
        <v>534315.72</v>
      </c>
      <c r="N309" s="45">
        <f t="shared" si="83"/>
        <v>1283353.8799999999</v>
      </c>
      <c r="O309" s="45">
        <v>3622065.7385119838</v>
      </c>
      <c r="P309" s="45">
        <v>935866.62693404616</v>
      </c>
      <c r="Q309" s="45">
        <f t="shared" si="84"/>
        <v>4557932.3654460302</v>
      </c>
      <c r="R309" s="45" t="str">
        <f t="shared" si="85"/>
        <v>Yes</v>
      </c>
      <c r="S309" s="46" t="str">
        <f t="shared" si="85"/>
        <v>Yes</v>
      </c>
      <c r="T309" s="47">
        <f>ROUND(INDEX(Summary!H:H,MATCH(H:H,Summary!A:A,0)),2)</f>
        <v>0.4</v>
      </c>
      <c r="U309" s="47">
        <f>ROUND(INDEX(Summary!I:I,MATCH(H:H,Summary!A:A,0)),2)</f>
        <v>0.45</v>
      </c>
      <c r="V309" s="81">
        <f t="shared" si="86"/>
        <v>662881.42791496241</v>
      </c>
      <c r="W309" s="81">
        <f t="shared" si="86"/>
        <v>545743.37120011181</v>
      </c>
      <c r="X309" s="45">
        <f t="shared" si="87"/>
        <v>1208624.7991150743</v>
      </c>
      <c r="Y309" s="45" t="s">
        <v>2752</v>
      </c>
      <c r="Z309" s="45" t="str">
        <f t="shared" si="88"/>
        <v>Yes</v>
      </c>
      <c r="AA309" s="45" t="str">
        <f t="shared" si="88"/>
        <v>Yes</v>
      </c>
      <c r="AB309" s="45" t="str">
        <f t="shared" si="89"/>
        <v>Yes</v>
      </c>
      <c r="AC309" s="82">
        <f t="shared" si="90"/>
        <v>1.24</v>
      </c>
      <c r="AD309" s="82">
        <f t="shared" si="90"/>
        <v>0.22</v>
      </c>
      <c r="AE309" s="45">
        <f t="shared" si="91"/>
        <v>2054932.4265363833</v>
      </c>
      <c r="AF309" s="45">
        <f t="shared" si="91"/>
        <v>266807.8703644991</v>
      </c>
      <c r="AG309" s="45">
        <f t="shared" si="92"/>
        <v>2321740.2969008824</v>
      </c>
      <c r="AH309" s="47">
        <f>IFERROR(ROUNDDOWN(INDEX('90% of ACR'!K:K,MATCH(H:H,'90% of ACR'!A:A,0))*IF(I309&gt;0,IF(O309&gt;0,$R$4*MAX(O309-V309,0),0),0)/I309,2),0)</f>
        <v>1.1000000000000001</v>
      </c>
      <c r="AI309" s="82">
        <f>IFERROR(ROUNDDOWN(INDEX('90% of ACR'!R:R,MATCH(H:H,'90% of ACR'!A:A,0))*IF(J309&gt;0,IF(P309&gt;0,$R$4*MAX(P309-W309,0),0),0)/J309,2),0)</f>
        <v>0.12</v>
      </c>
      <c r="AJ309" s="45">
        <f t="shared" si="93"/>
        <v>1822923.9267661467</v>
      </c>
      <c r="AK309" s="45">
        <f t="shared" si="93"/>
        <v>145531.56565336313</v>
      </c>
      <c r="AL309" s="47">
        <f t="shared" si="94"/>
        <v>1.5</v>
      </c>
      <c r="AM309" s="47">
        <f t="shared" si="94"/>
        <v>0.57000000000000006</v>
      </c>
      <c r="AN309" s="83">
        <f>IFERROR(INDEX('Fee Calc'!P:P,MATCH(C309,'Fee Calc'!F:F,0)),0)</f>
        <v>3177080.291534584</v>
      </c>
      <c r="AO309" s="83">
        <f>IFERROR(INDEX('Fee Calc'!Q:Q,MATCH(C309,'Fee Calc'!F:F,0)),0)</f>
        <v>196527.16590293811</v>
      </c>
      <c r="AP309" s="83">
        <f t="shared" si="95"/>
        <v>3373607.4574375222</v>
      </c>
      <c r="AQ309" s="70">
        <f t="shared" si="96"/>
        <v>1440638.33976446</v>
      </c>
      <c r="AR309" s="70">
        <f t="shared" si="97"/>
        <v>720319.16988222999</v>
      </c>
      <c r="AS309" s="70">
        <f t="shared" si="98"/>
        <v>720319.16988222999</v>
      </c>
    </row>
    <row r="310" spans="1:45">
      <c r="A310" s="104" t="s">
        <v>1294</v>
      </c>
      <c r="B310" s="124" t="s">
        <v>1294</v>
      </c>
      <c r="C310" s="31" t="s">
        <v>1295</v>
      </c>
      <c r="D310" s="125" t="s">
        <v>1295</v>
      </c>
      <c r="E310" s="119" t="s">
        <v>2655</v>
      </c>
      <c r="F310" s="100" t="s">
        <v>2279</v>
      </c>
      <c r="G310" s="100" t="s">
        <v>487</v>
      </c>
      <c r="H310" s="43" t="str">
        <f t="shared" si="81"/>
        <v>Urban Bexar</v>
      </c>
      <c r="I310" s="45">
        <f>INDEX('Fee Calc'!M:M,MATCH(C:C,'Fee Calc'!F:F,0))</f>
        <v>59881028.802810453</v>
      </c>
      <c r="J310" s="45">
        <f>INDEX('Fee Calc'!L:L,MATCH(C:C,'Fee Calc'!F:F,0))</f>
        <v>22891704.501209944</v>
      </c>
      <c r="K310" s="45">
        <f t="shared" si="82"/>
        <v>82772733.304020405</v>
      </c>
      <c r="L310" s="45">
        <v>29278052.449999999</v>
      </c>
      <c r="M310" s="45">
        <v>10865593.24</v>
      </c>
      <c r="N310" s="45">
        <f t="shared" si="83"/>
        <v>40143645.689999998</v>
      </c>
      <c r="O310" s="45">
        <v>110244282.89687771</v>
      </c>
      <c r="P310" s="45">
        <v>14896902.747140691</v>
      </c>
      <c r="Q310" s="45">
        <f t="shared" si="84"/>
        <v>125141185.6440184</v>
      </c>
      <c r="R310" s="45" t="str">
        <f t="shared" si="85"/>
        <v>Yes</v>
      </c>
      <c r="S310" s="46" t="str">
        <f t="shared" si="85"/>
        <v>Yes</v>
      </c>
      <c r="T310" s="47">
        <f>ROUND(INDEX(Summary!H:H,MATCH(H:H,Summary!A:A,0)),2)</f>
        <v>0.4</v>
      </c>
      <c r="U310" s="47">
        <f>ROUND(INDEX(Summary!I:I,MATCH(H:H,Summary!A:A,0)),2)</f>
        <v>0.45</v>
      </c>
      <c r="V310" s="81">
        <f t="shared" si="86"/>
        <v>23952411.521124184</v>
      </c>
      <c r="W310" s="81">
        <f t="shared" si="86"/>
        <v>10301267.025544476</v>
      </c>
      <c r="X310" s="45">
        <f t="shared" si="87"/>
        <v>34253678.546668664</v>
      </c>
      <c r="Y310" s="45" t="s">
        <v>2752</v>
      </c>
      <c r="Z310" s="45" t="str">
        <f t="shared" si="88"/>
        <v>Yes</v>
      </c>
      <c r="AA310" s="45" t="str">
        <f t="shared" si="88"/>
        <v>Yes</v>
      </c>
      <c r="AB310" s="45" t="str">
        <f t="shared" si="89"/>
        <v>Yes</v>
      </c>
      <c r="AC310" s="82">
        <f t="shared" si="90"/>
        <v>1</v>
      </c>
      <c r="AD310" s="82">
        <f t="shared" si="90"/>
        <v>0.14000000000000001</v>
      </c>
      <c r="AE310" s="45">
        <f t="shared" si="91"/>
        <v>59881028.802810453</v>
      </c>
      <c r="AF310" s="45">
        <f t="shared" si="91"/>
        <v>3204838.6301693926</v>
      </c>
      <c r="AG310" s="45">
        <f t="shared" si="92"/>
        <v>63085867.432979845</v>
      </c>
      <c r="AH310" s="47">
        <f>IFERROR(ROUNDDOWN(INDEX('90% of ACR'!K:K,MATCH(H:H,'90% of ACR'!A:A,0))*IF(I310&gt;0,IF(O310&gt;0,$R$4*MAX(O310-V310,0),0),0)/I310,2),0)</f>
        <v>0.89</v>
      </c>
      <c r="AI310" s="82">
        <f>IFERROR(ROUNDDOWN(INDEX('90% of ACR'!R:R,MATCH(H:H,'90% of ACR'!A:A,0))*IF(J310&gt;0,IF(P310&gt;0,$R$4*MAX(P310-W310,0),0),0)/J310,2),0)</f>
        <v>0.08</v>
      </c>
      <c r="AJ310" s="45">
        <f t="shared" si="93"/>
        <v>53294115.634501301</v>
      </c>
      <c r="AK310" s="45">
        <f t="shared" si="93"/>
        <v>1831336.3600967955</v>
      </c>
      <c r="AL310" s="47">
        <f t="shared" si="94"/>
        <v>1.29</v>
      </c>
      <c r="AM310" s="47">
        <f t="shared" si="94"/>
        <v>0.53</v>
      </c>
      <c r="AN310" s="83">
        <f>IFERROR(INDEX('Fee Calc'!P:P,MATCH(C310,'Fee Calc'!F:F,0)),0)</f>
        <v>89379130.541266769</v>
      </c>
      <c r="AO310" s="83">
        <f>IFERROR(INDEX('Fee Calc'!Q:Q,MATCH(C310,'Fee Calc'!F:F,0)),0)</f>
        <v>5514707.4652611772</v>
      </c>
      <c r="AP310" s="83">
        <f t="shared" si="95"/>
        <v>94893838.006527945</v>
      </c>
      <c r="AQ310" s="70">
        <f t="shared" si="96"/>
        <v>40522705.43160364</v>
      </c>
      <c r="AR310" s="70">
        <f t="shared" si="97"/>
        <v>20261352.71580182</v>
      </c>
      <c r="AS310" s="70">
        <f t="shared" si="98"/>
        <v>20261352.71580182</v>
      </c>
    </row>
    <row r="311" spans="1:45">
      <c r="A311" s="104" t="s">
        <v>1369</v>
      </c>
      <c r="B311" s="124" t="s">
        <v>1369</v>
      </c>
      <c r="C311" s="31" t="s">
        <v>1370</v>
      </c>
      <c r="D311" s="125" t="s">
        <v>1370</v>
      </c>
      <c r="E311" s="119" t="s">
        <v>2656</v>
      </c>
      <c r="F311" s="100" t="s">
        <v>2279</v>
      </c>
      <c r="G311" s="100" t="s">
        <v>1514</v>
      </c>
      <c r="H311" s="43" t="str">
        <f t="shared" si="81"/>
        <v>Urban Hidalgo</v>
      </c>
      <c r="I311" s="45">
        <f>INDEX('Fee Calc'!M:M,MATCH(C:C,'Fee Calc'!F:F,0))</f>
        <v>22872752.408066988</v>
      </c>
      <c r="J311" s="45">
        <f>INDEX('Fee Calc'!L:L,MATCH(C:C,'Fee Calc'!F:F,0))</f>
        <v>9089403.3882050794</v>
      </c>
      <c r="K311" s="45">
        <f t="shared" si="82"/>
        <v>31962155.796272069</v>
      </c>
      <c r="L311" s="45">
        <v>9680295.7599999998</v>
      </c>
      <c r="M311" s="45">
        <v>6409590.8499999996</v>
      </c>
      <c r="N311" s="45">
        <f t="shared" si="83"/>
        <v>16089886.609999999</v>
      </c>
      <c r="O311" s="45">
        <v>40112552.216711216</v>
      </c>
      <c r="P311" s="45">
        <v>12554848.81194935</v>
      </c>
      <c r="Q311" s="45">
        <f t="shared" si="84"/>
        <v>52667401.028660566</v>
      </c>
      <c r="R311" s="45" t="str">
        <f t="shared" si="85"/>
        <v>Yes</v>
      </c>
      <c r="S311" s="46" t="str">
        <f t="shared" si="85"/>
        <v>Yes</v>
      </c>
      <c r="T311" s="47">
        <f>ROUND(INDEX(Summary!H:H,MATCH(H:H,Summary!A:A,0)),2)</f>
        <v>0.63</v>
      </c>
      <c r="U311" s="47">
        <f>ROUND(INDEX(Summary!I:I,MATCH(H:H,Summary!A:A,0)),2)</f>
        <v>0.48</v>
      </c>
      <c r="V311" s="81">
        <f t="shared" si="86"/>
        <v>14409834.017082203</v>
      </c>
      <c r="W311" s="81">
        <f t="shared" si="86"/>
        <v>4362913.6263384381</v>
      </c>
      <c r="X311" s="45">
        <f t="shared" si="87"/>
        <v>18772747.64342064</v>
      </c>
      <c r="Y311" s="45" t="s">
        <v>2752</v>
      </c>
      <c r="Z311" s="45" t="str">
        <f t="shared" si="88"/>
        <v>Yes</v>
      </c>
      <c r="AA311" s="45" t="str">
        <f t="shared" si="88"/>
        <v>Yes</v>
      </c>
      <c r="AB311" s="45" t="str">
        <f t="shared" si="89"/>
        <v>Yes</v>
      </c>
      <c r="AC311" s="82">
        <f t="shared" si="90"/>
        <v>0.78</v>
      </c>
      <c r="AD311" s="82">
        <f t="shared" si="90"/>
        <v>0.63</v>
      </c>
      <c r="AE311" s="45">
        <f t="shared" si="91"/>
        <v>17840746.878292251</v>
      </c>
      <c r="AF311" s="45">
        <f t="shared" si="91"/>
        <v>5726324.1345691998</v>
      </c>
      <c r="AG311" s="45">
        <f t="shared" si="92"/>
        <v>23567071.012861453</v>
      </c>
      <c r="AH311" s="47">
        <f>IFERROR(ROUNDDOWN(INDEX('90% of ACR'!K:K,MATCH(H:H,'90% of ACR'!A:A,0))*IF(I311&gt;0,IF(O311&gt;0,$R$4*MAX(O311-V311,0),0),0)/I311,2),0)</f>
        <v>0.78</v>
      </c>
      <c r="AI311" s="82">
        <f>IFERROR(ROUNDDOWN(INDEX('90% of ACR'!R:R,MATCH(H:H,'90% of ACR'!A:A,0))*IF(J311&gt;0,IF(P311&gt;0,$R$4*MAX(P311-W311,0),0),0)/J311,2),0)</f>
        <v>0.6</v>
      </c>
      <c r="AJ311" s="45">
        <f t="shared" si="93"/>
        <v>17840746.878292251</v>
      </c>
      <c r="AK311" s="45">
        <f t="shared" si="93"/>
        <v>5453642.0329230474</v>
      </c>
      <c r="AL311" s="47">
        <f t="shared" si="94"/>
        <v>1.4100000000000001</v>
      </c>
      <c r="AM311" s="47">
        <f t="shared" si="94"/>
        <v>1.08</v>
      </c>
      <c r="AN311" s="83">
        <f>IFERROR(INDEX('Fee Calc'!P:P,MATCH(C311,'Fee Calc'!F:F,0)),0)</f>
        <v>42067136.554635942</v>
      </c>
      <c r="AO311" s="83">
        <f>IFERROR(INDEX('Fee Calc'!Q:Q,MATCH(C311,'Fee Calc'!F:F,0)),0)</f>
        <v>2595041.4454869493</v>
      </c>
      <c r="AP311" s="83">
        <f t="shared" si="95"/>
        <v>44662178.00012289</v>
      </c>
      <c r="AQ311" s="70">
        <f t="shared" si="96"/>
        <v>19072179.195748478</v>
      </c>
      <c r="AR311" s="70">
        <f t="shared" si="97"/>
        <v>9536089.5978742391</v>
      </c>
      <c r="AS311" s="70">
        <f t="shared" si="98"/>
        <v>9536089.5978742391</v>
      </c>
    </row>
    <row r="312" spans="1:45">
      <c r="A312" s="104" t="s">
        <v>1158</v>
      </c>
      <c r="B312" s="124" t="s">
        <v>1158</v>
      </c>
      <c r="C312" s="31" t="s">
        <v>1159</v>
      </c>
      <c r="D312" s="125" t="s">
        <v>1159</v>
      </c>
      <c r="E312" s="119" t="s">
        <v>2657</v>
      </c>
      <c r="F312" s="100" t="s">
        <v>2279</v>
      </c>
      <c r="G312" s="100" t="s">
        <v>1514</v>
      </c>
      <c r="H312" s="43" t="str">
        <f t="shared" si="81"/>
        <v>Urban Hidalgo</v>
      </c>
      <c r="I312" s="45">
        <f>INDEX('Fee Calc'!M:M,MATCH(C:C,'Fee Calc'!F:F,0))</f>
        <v>13704507.270045375</v>
      </c>
      <c r="J312" s="45">
        <f>INDEX('Fee Calc'!L:L,MATCH(C:C,'Fee Calc'!F:F,0))</f>
        <v>7534665.1371903028</v>
      </c>
      <c r="K312" s="45">
        <f t="shared" si="82"/>
        <v>21239172.407235678</v>
      </c>
      <c r="L312" s="45">
        <v>6459189.2800000003</v>
      </c>
      <c r="M312" s="45">
        <v>4180928.52</v>
      </c>
      <c r="N312" s="45">
        <f t="shared" si="83"/>
        <v>10640117.800000001</v>
      </c>
      <c r="O312" s="45">
        <v>22095883.118345529</v>
      </c>
      <c r="P312" s="45">
        <v>7839184.9444294553</v>
      </c>
      <c r="Q312" s="45">
        <f t="shared" si="84"/>
        <v>29935068.062774986</v>
      </c>
      <c r="R312" s="45" t="str">
        <f t="shared" si="85"/>
        <v>Yes</v>
      </c>
      <c r="S312" s="46" t="str">
        <f t="shared" si="85"/>
        <v>Yes</v>
      </c>
      <c r="T312" s="47">
        <f>ROUND(INDEX(Summary!H:H,MATCH(H:H,Summary!A:A,0)),2)</f>
        <v>0.63</v>
      </c>
      <c r="U312" s="47">
        <f>ROUND(INDEX(Summary!I:I,MATCH(H:H,Summary!A:A,0)),2)</f>
        <v>0.48</v>
      </c>
      <c r="V312" s="81">
        <f t="shared" si="86"/>
        <v>8633839.5801285859</v>
      </c>
      <c r="W312" s="81">
        <f t="shared" si="86"/>
        <v>3616639.2658513454</v>
      </c>
      <c r="X312" s="45">
        <f t="shared" si="87"/>
        <v>12250478.845979931</v>
      </c>
      <c r="Y312" s="45" t="s">
        <v>2752</v>
      </c>
      <c r="Z312" s="45" t="str">
        <f t="shared" si="88"/>
        <v>Yes</v>
      </c>
      <c r="AA312" s="45" t="str">
        <f t="shared" si="88"/>
        <v>Yes</v>
      </c>
      <c r="AB312" s="45" t="str">
        <f t="shared" si="89"/>
        <v>Yes</v>
      </c>
      <c r="AC312" s="82">
        <f t="shared" si="90"/>
        <v>0.68</v>
      </c>
      <c r="AD312" s="82">
        <f t="shared" si="90"/>
        <v>0.39</v>
      </c>
      <c r="AE312" s="45">
        <f t="shared" si="91"/>
        <v>9319064.9436308555</v>
      </c>
      <c r="AF312" s="45">
        <f t="shared" si="91"/>
        <v>2938519.403504218</v>
      </c>
      <c r="AG312" s="45">
        <f t="shared" si="92"/>
        <v>12257584.347135074</v>
      </c>
      <c r="AH312" s="47">
        <f>IFERROR(ROUNDDOWN(INDEX('90% of ACR'!K:K,MATCH(H:H,'90% of ACR'!A:A,0))*IF(I312&gt;0,IF(O312&gt;0,$R$4*MAX(O312-V312,0),0),0)/I312,2),0)</f>
        <v>0.68</v>
      </c>
      <c r="AI312" s="82">
        <f>IFERROR(ROUNDDOWN(INDEX('90% of ACR'!R:R,MATCH(H:H,'90% of ACR'!A:A,0))*IF(J312&gt;0,IF(P312&gt;0,$R$4*MAX(P312-W312,0),0),0)/J312,2),0)</f>
        <v>0.37</v>
      </c>
      <c r="AJ312" s="45">
        <f t="shared" si="93"/>
        <v>9319064.9436308555</v>
      </c>
      <c r="AK312" s="45">
        <f t="shared" si="93"/>
        <v>2787826.1007604119</v>
      </c>
      <c r="AL312" s="47">
        <f t="shared" si="94"/>
        <v>1.31</v>
      </c>
      <c r="AM312" s="47">
        <f t="shared" si="94"/>
        <v>0.85</v>
      </c>
      <c r="AN312" s="83">
        <f>IFERROR(INDEX('Fee Calc'!P:P,MATCH(C312,'Fee Calc'!F:F,0)),0)</f>
        <v>24357369.8903712</v>
      </c>
      <c r="AO312" s="83">
        <f>IFERROR(INDEX('Fee Calc'!Q:Q,MATCH(C312,'Fee Calc'!F:F,0)),0)</f>
        <v>1500569.5744712539</v>
      </c>
      <c r="AP312" s="83">
        <f t="shared" si="95"/>
        <v>25857939.464842454</v>
      </c>
      <c r="AQ312" s="70">
        <f t="shared" si="96"/>
        <v>11042167.605550602</v>
      </c>
      <c r="AR312" s="70">
        <f t="shared" si="97"/>
        <v>5521083.802775301</v>
      </c>
      <c r="AS312" s="70">
        <f t="shared" si="98"/>
        <v>5521083.802775301</v>
      </c>
    </row>
    <row r="313" spans="1:45">
      <c r="A313" s="104" t="s">
        <v>680</v>
      </c>
      <c r="B313" s="124" t="s">
        <v>680</v>
      </c>
      <c r="C313" s="31" t="s">
        <v>681</v>
      </c>
      <c r="D313" s="125" t="s">
        <v>681</v>
      </c>
      <c r="E313" s="119" t="s">
        <v>1733</v>
      </c>
      <c r="F313" s="100" t="s">
        <v>2279</v>
      </c>
      <c r="G313" s="100" t="s">
        <v>223</v>
      </c>
      <c r="H313" s="43" t="str">
        <f t="shared" si="81"/>
        <v>Urban Dallas</v>
      </c>
      <c r="I313" s="45">
        <f>INDEX('Fee Calc'!M:M,MATCH(C:C,'Fee Calc'!F:F,0))</f>
        <v>939750.77770031325</v>
      </c>
      <c r="J313" s="45">
        <f>INDEX('Fee Calc'!L:L,MATCH(C:C,'Fee Calc'!F:F,0))</f>
        <v>876433.76440426416</v>
      </c>
      <c r="K313" s="45">
        <f t="shared" si="82"/>
        <v>1816184.5421045774</v>
      </c>
      <c r="L313" s="45">
        <v>711358.93</v>
      </c>
      <c r="M313" s="45">
        <v>985262.41</v>
      </c>
      <c r="N313" s="45">
        <f t="shared" si="83"/>
        <v>1696621.34</v>
      </c>
      <c r="O313" s="45">
        <v>730448.79234306305</v>
      </c>
      <c r="P313" s="45">
        <v>1095767.2316089668</v>
      </c>
      <c r="Q313" s="45">
        <f t="shared" si="84"/>
        <v>1826216.0239520299</v>
      </c>
      <c r="R313" s="45" t="str">
        <f t="shared" si="85"/>
        <v>Yes</v>
      </c>
      <c r="S313" s="46" t="str">
        <f t="shared" si="85"/>
        <v>Yes</v>
      </c>
      <c r="T313" s="47">
        <f>ROUND(INDEX(Summary!H:H,MATCH(H:H,Summary!A:A,0)),2)</f>
        <v>0.54</v>
      </c>
      <c r="U313" s="47">
        <f>ROUND(INDEX(Summary!I:I,MATCH(H:H,Summary!A:A,0)),2)</f>
        <v>0.27</v>
      </c>
      <c r="V313" s="81">
        <f t="shared" si="86"/>
        <v>507465.41995816916</v>
      </c>
      <c r="W313" s="81">
        <f t="shared" si="86"/>
        <v>236637.11638915134</v>
      </c>
      <c r="X313" s="45">
        <f t="shared" si="87"/>
        <v>744102.53634732054</v>
      </c>
      <c r="Y313" s="45" t="s">
        <v>2752</v>
      </c>
      <c r="Z313" s="45" t="str">
        <f t="shared" si="88"/>
        <v>Yes</v>
      </c>
      <c r="AA313" s="45" t="str">
        <f t="shared" si="88"/>
        <v>Yes</v>
      </c>
      <c r="AB313" s="45" t="str">
        <f t="shared" si="89"/>
        <v>Yes</v>
      </c>
      <c r="AC313" s="82">
        <f t="shared" si="90"/>
        <v>0.17</v>
      </c>
      <c r="AD313" s="82">
        <f t="shared" si="90"/>
        <v>0.68</v>
      </c>
      <c r="AE313" s="45">
        <f t="shared" si="91"/>
        <v>159757.63220905326</v>
      </c>
      <c r="AF313" s="45">
        <f t="shared" si="91"/>
        <v>595974.95979489968</v>
      </c>
      <c r="AG313" s="45">
        <f t="shared" si="92"/>
        <v>755732.59200395294</v>
      </c>
      <c r="AH313" s="47">
        <f>IFERROR(ROUNDDOWN(INDEX('90% of ACR'!K:K,MATCH(H:H,'90% of ACR'!A:A,0))*IF(I313&gt;0,IF(O313&gt;0,$R$4*MAX(O313-V313,0),0),0)/I313,2),0)</f>
        <v>0.16</v>
      </c>
      <c r="AI313" s="82">
        <f>IFERROR(ROUNDDOWN(INDEX('90% of ACR'!R:R,MATCH(H:H,'90% of ACR'!A:A,0))*IF(J313&gt;0,IF(P313&gt;0,$R$4*MAX(P313-W313,0),0),0)/J313,2),0)</f>
        <v>0.68</v>
      </c>
      <c r="AJ313" s="45">
        <f t="shared" si="93"/>
        <v>150360.12443205013</v>
      </c>
      <c r="AK313" s="45">
        <f t="shared" si="93"/>
        <v>595974.95979489968</v>
      </c>
      <c r="AL313" s="47">
        <f t="shared" si="94"/>
        <v>0.70000000000000007</v>
      </c>
      <c r="AM313" s="47">
        <f t="shared" si="94"/>
        <v>0.95000000000000007</v>
      </c>
      <c r="AN313" s="83">
        <f>IFERROR(INDEX('Fee Calc'!P:P,MATCH(C313,'Fee Calc'!F:F,0)),0)</f>
        <v>1490437.6205742704</v>
      </c>
      <c r="AO313" s="83">
        <f>IFERROR(INDEX('Fee Calc'!Q:Q,MATCH(C313,'Fee Calc'!F:F,0)),0)</f>
        <v>93598.304377635184</v>
      </c>
      <c r="AP313" s="83">
        <f t="shared" si="95"/>
        <v>1584035.9249519056</v>
      </c>
      <c r="AQ313" s="70">
        <f t="shared" si="96"/>
        <v>676434.02910406212</v>
      </c>
      <c r="AR313" s="70">
        <f t="shared" si="97"/>
        <v>338217.01455203106</v>
      </c>
      <c r="AS313" s="70">
        <f t="shared" si="98"/>
        <v>338217.01455203106</v>
      </c>
    </row>
    <row r="314" spans="1:45">
      <c r="A314" s="104" t="s">
        <v>774</v>
      </c>
      <c r="B314" s="124" t="s">
        <v>774</v>
      </c>
      <c r="C314" s="31" t="s">
        <v>775</v>
      </c>
      <c r="D314" s="125" t="s">
        <v>775</v>
      </c>
      <c r="E314" s="119" t="s">
        <v>2345</v>
      </c>
      <c r="F314" s="100" t="s">
        <v>2279</v>
      </c>
      <c r="G314" s="100" t="s">
        <v>1514</v>
      </c>
      <c r="H314" s="43" t="str">
        <f t="shared" si="81"/>
        <v>Urban Hidalgo</v>
      </c>
      <c r="I314" s="45">
        <f>INDEX('Fee Calc'!M:M,MATCH(C:C,'Fee Calc'!F:F,0))</f>
        <v>8581402.2532192394</v>
      </c>
      <c r="J314" s="45">
        <f>INDEX('Fee Calc'!L:L,MATCH(C:C,'Fee Calc'!F:F,0))</f>
        <v>4476959.4928826969</v>
      </c>
      <c r="K314" s="45">
        <f t="shared" si="82"/>
        <v>13058361.746101936</v>
      </c>
      <c r="L314" s="45">
        <v>10745718.25</v>
      </c>
      <c r="M314" s="45">
        <v>3884147.75</v>
      </c>
      <c r="N314" s="45">
        <f t="shared" si="83"/>
        <v>14629866</v>
      </c>
      <c r="O314" s="45">
        <v>10883567.333167508</v>
      </c>
      <c r="P314" s="45">
        <v>6257963.1080520144</v>
      </c>
      <c r="Q314" s="45">
        <f t="shared" si="84"/>
        <v>17141530.441219524</v>
      </c>
      <c r="R314" s="45" t="str">
        <f t="shared" si="85"/>
        <v>Yes</v>
      </c>
      <c r="S314" s="46" t="str">
        <f t="shared" si="85"/>
        <v>Yes</v>
      </c>
      <c r="T314" s="47">
        <f>ROUND(INDEX(Summary!H:H,MATCH(H:H,Summary!A:A,0)),2)</f>
        <v>0.63</v>
      </c>
      <c r="U314" s="47">
        <f>ROUND(INDEX(Summary!I:I,MATCH(H:H,Summary!A:A,0)),2)</f>
        <v>0.48</v>
      </c>
      <c r="V314" s="81">
        <f t="shared" si="86"/>
        <v>5406283.4195281211</v>
      </c>
      <c r="W314" s="81">
        <f t="shared" si="86"/>
        <v>2148940.5565836946</v>
      </c>
      <c r="X314" s="45">
        <f t="shared" si="87"/>
        <v>7555223.9761118162</v>
      </c>
      <c r="Y314" s="45" t="s">
        <v>2752</v>
      </c>
      <c r="Z314" s="45" t="str">
        <f t="shared" si="88"/>
        <v>Yes</v>
      </c>
      <c r="AA314" s="45" t="str">
        <f t="shared" si="88"/>
        <v>Yes</v>
      </c>
      <c r="AB314" s="45" t="str">
        <f t="shared" si="89"/>
        <v>Yes</v>
      </c>
      <c r="AC314" s="82">
        <f t="shared" si="90"/>
        <v>0.44</v>
      </c>
      <c r="AD314" s="82">
        <f t="shared" si="90"/>
        <v>0.64</v>
      </c>
      <c r="AE314" s="45">
        <f t="shared" si="91"/>
        <v>3775816.9914164655</v>
      </c>
      <c r="AF314" s="45">
        <f t="shared" si="91"/>
        <v>2865254.075444926</v>
      </c>
      <c r="AG314" s="45">
        <f t="shared" si="92"/>
        <v>6641071.0668613911</v>
      </c>
      <c r="AH314" s="47">
        <f>IFERROR(ROUNDDOWN(INDEX('90% of ACR'!K:K,MATCH(H:H,'90% of ACR'!A:A,0))*IF(I314&gt;0,IF(O314&gt;0,$R$4*MAX(O314-V314,0),0),0)/I314,2),0)</f>
        <v>0.44</v>
      </c>
      <c r="AI314" s="82">
        <f>IFERROR(ROUNDDOWN(INDEX('90% of ACR'!R:R,MATCH(H:H,'90% of ACR'!A:A,0))*IF(J314&gt;0,IF(P314&gt;0,$R$4*MAX(P314-W314,0),0),0)/J314,2),0)</f>
        <v>0.62</v>
      </c>
      <c r="AJ314" s="45">
        <f t="shared" si="93"/>
        <v>3775816.9914164655</v>
      </c>
      <c r="AK314" s="45">
        <f t="shared" si="93"/>
        <v>2775714.8855872722</v>
      </c>
      <c r="AL314" s="47">
        <f t="shared" si="94"/>
        <v>1.07</v>
      </c>
      <c r="AM314" s="47">
        <f t="shared" si="94"/>
        <v>1.1000000000000001</v>
      </c>
      <c r="AN314" s="83">
        <f>IFERROR(INDEX('Fee Calc'!P:P,MATCH(C314,'Fee Calc'!F:F,0)),0)</f>
        <v>14106755.853115555</v>
      </c>
      <c r="AO314" s="83">
        <f>IFERROR(INDEX('Fee Calc'!Q:Q,MATCH(C314,'Fee Calc'!F:F,0)),0)</f>
        <v>866055.07437202695</v>
      </c>
      <c r="AP314" s="83">
        <f t="shared" si="95"/>
        <v>14972810.927487582</v>
      </c>
      <c r="AQ314" s="70">
        <f t="shared" si="96"/>
        <v>6393869.3959868774</v>
      </c>
      <c r="AR314" s="70">
        <f t="shared" si="97"/>
        <v>3196934.6979934387</v>
      </c>
      <c r="AS314" s="70">
        <f t="shared" si="98"/>
        <v>3196934.6979934387</v>
      </c>
    </row>
    <row r="315" spans="1:45">
      <c r="A315" s="104" t="s">
        <v>1072</v>
      </c>
      <c r="B315" s="124" t="s">
        <v>1072</v>
      </c>
      <c r="C315" s="31" t="s">
        <v>1073</v>
      </c>
      <c r="D315" s="125" t="s">
        <v>1073</v>
      </c>
      <c r="E315" s="119" t="s">
        <v>2900</v>
      </c>
      <c r="F315" s="100" t="s">
        <v>2291</v>
      </c>
      <c r="G315" s="100" t="s">
        <v>300</v>
      </c>
      <c r="H315" s="43" t="str">
        <f t="shared" si="81"/>
        <v>Rural Harris</v>
      </c>
      <c r="I315" s="45">
        <f>INDEX('Fee Calc'!M:M,MATCH(C:C,'Fee Calc'!F:F,0))</f>
        <v>191475.17944766651</v>
      </c>
      <c r="J315" s="45">
        <f>INDEX('Fee Calc'!L:L,MATCH(C:C,'Fee Calc'!F:F,0))</f>
        <v>894584.49650633265</v>
      </c>
      <c r="K315" s="45">
        <f t="shared" si="82"/>
        <v>1086059.6759539992</v>
      </c>
      <c r="L315" s="45">
        <v>51773.279999999999</v>
      </c>
      <c r="M315" s="45">
        <v>47371.72</v>
      </c>
      <c r="N315" s="45">
        <f t="shared" si="83"/>
        <v>99145</v>
      </c>
      <c r="O315" s="45">
        <v>-35645.632844565407</v>
      </c>
      <c r="P315" s="45">
        <v>52432.672455769207</v>
      </c>
      <c r="Q315" s="45">
        <f t="shared" si="84"/>
        <v>16787.0396112038</v>
      </c>
      <c r="R315" s="45" t="str">
        <f t="shared" si="85"/>
        <v>No</v>
      </c>
      <c r="S315" s="46" t="str">
        <f t="shared" si="85"/>
        <v>Yes</v>
      </c>
      <c r="T315" s="47">
        <f>ROUND(INDEX(Summary!H:H,MATCH(H:H,Summary!A:A,0)),2)</f>
        <v>0.01</v>
      </c>
      <c r="U315" s="47">
        <f>ROUND(INDEX(Summary!I:I,MATCH(H:H,Summary!A:A,0)),2)</f>
        <v>0.28000000000000003</v>
      </c>
      <c r="V315" s="81">
        <f t="shared" si="86"/>
        <v>1914.7517944766651</v>
      </c>
      <c r="W315" s="81">
        <f t="shared" si="86"/>
        <v>250483.65902177317</v>
      </c>
      <c r="X315" s="45">
        <f t="shared" si="87"/>
        <v>252398.41081624985</v>
      </c>
      <c r="Y315" s="45" t="s">
        <v>2752</v>
      </c>
      <c r="Z315" s="45" t="str">
        <f t="shared" si="88"/>
        <v>No</v>
      </c>
      <c r="AA315" s="45" t="str">
        <f t="shared" si="88"/>
        <v>No</v>
      </c>
      <c r="AB315" s="45" t="str">
        <f t="shared" si="89"/>
        <v>No</v>
      </c>
      <c r="AC315" s="82">
        <f t="shared" si="90"/>
        <v>0</v>
      </c>
      <c r="AD315" s="82">
        <f t="shared" si="90"/>
        <v>0</v>
      </c>
      <c r="AE315" s="45">
        <f t="shared" si="91"/>
        <v>0</v>
      </c>
      <c r="AF315" s="45">
        <f t="shared" si="91"/>
        <v>0</v>
      </c>
      <c r="AG315" s="45">
        <f t="shared" si="92"/>
        <v>0</v>
      </c>
      <c r="AH315" s="47">
        <f>IFERROR(ROUNDDOWN(INDEX('90% of ACR'!K:K,MATCH(H:H,'90% of ACR'!A:A,0))*IF(I315&gt;0,IF(O315&gt;0,$R$4*MAX(O315-V315,0),0),0)/I315,2),0)</f>
        <v>0</v>
      </c>
      <c r="AI315" s="82">
        <f>IFERROR(ROUNDDOWN(INDEX('90% of ACR'!R:R,MATCH(H:H,'90% of ACR'!A:A,0))*IF(J315&gt;0,IF(P315&gt;0,$R$4*MAX(P315-W315,0),0),0)/J315,2),0)</f>
        <v>0</v>
      </c>
      <c r="AJ315" s="45">
        <f t="shared" si="93"/>
        <v>0</v>
      </c>
      <c r="AK315" s="45">
        <f t="shared" si="93"/>
        <v>0</v>
      </c>
      <c r="AL315" s="47">
        <f t="shared" si="94"/>
        <v>0.01</v>
      </c>
      <c r="AM315" s="47">
        <f t="shared" si="94"/>
        <v>0.28000000000000003</v>
      </c>
      <c r="AN315" s="83">
        <f>IFERROR(INDEX('Fee Calc'!P:P,MATCH(C315,'Fee Calc'!F:F,0)),0)</f>
        <v>252398.41081624985</v>
      </c>
      <c r="AO315" s="83">
        <f>IFERROR(INDEX('Fee Calc'!Q:Q,MATCH(C315,'Fee Calc'!F:F,0)),0)</f>
        <v>15690.297516843873</v>
      </c>
      <c r="AP315" s="83">
        <f t="shared" si="95"/>
        <v>268088.70833309373</v>
      </c>
      <c r="AQ315" s="70">
        <f t="shared" si="96"/>
        <v>114482.45729689769</v>
      </c>
      <c r="AR315" s="70">
        <f t="shared" si="97"/>
        <v>57241.228648448843</v>
      </c>
      <c r="AS315" s="70">
        <f t="shared" si="98"/>
        <v>57241.228648448843</v>
      </c>
    </row>
    <row r="316" spans="1:45">
      <c r="A316" s="104" t="s">
        <v>73</v>
      </c>
      <c r="B316" s="124" t="s">
        <v>73</v>
      </c>
      <c r="C316" s="31" t="s">
        <v>74</v>
      </c>
      <c r="D316" s="125" t="s">
        <v>74</v>
      </c>
      <c r="E316" s="119" t="s">
        <v>2901</v>
      </c>
      <c r="F316" s="100" t="s">
        <v>2291</v>
      </c>
      <c r="G316" s="100" t="s">
        <v>1548</v>
      </c>
      <c r="H316" s="43" t="str">
        <f t="shared" si="81"/>
        <v>Rural Nueces</v>
      </c>
      <c r="I316" s="45">
        <f>INDEX('Fee Calc'!M:M,MATCH(C:C,'Fee Calc'!F:F,0))</f>
        <v>2297354.4945980478</v>
      </c>
      <c r="J316" s="45">
        <f>INDEX('Fee Calc'!L:L,MATCH(C:C,'Fee Calc'!F:F,0))</f>
        <v>2933332.8700668355</v>
      </c>
      <c r="K316" s="45">
        <f t="shared" si="82"/>
        <v>5230687.3646648834</v>
      </c>
      <c r="L316" s="45">
        <v>520560.03</v>
      </c>
      <c r="M316" s="45">
        <v>855948.79</v>
      </c>
      <c r="N316" s="45">
        <f t="shared" si="83"/>
        <v>1376508.82</v>
      </c>
      <c r="O316" s="45">
        <v>732313.51108918968</v>
      </c>
      <c r="P316" s="45">
        <v>2312959.0821489962</v>
      </c>
      <c r="Q316" s="45">
        <f t="shared" si="84"/>
        <v>3045272.5932381861</v>
      </c>
      <c r="R316" s="45" t="str">
        <f t="shared" si="85"/>
        <v>Yes</v>
      </c>
      <c r="S316" s="46" t="str">
        <f t="shared" si="85"/>
        <v>Yes</v>
      </c>
      <c r="T316" s="47">
        <f>ROUND(INDEX(Summary!H:H,MATCH(H:H,Summary!A:A,0)),2)</f>
        <v>0.17</v>
      </c>
      <c r="U316" s="47">
        <f>ROUND(INDEX(Summary!I:I,MATCH(H:H,Summary!A:A,0)),2)</f>
        <v>0.13</v>
      </c>
      <c r="V316" s="81">
        <f t="shared" si="86"/>
        <v>390550.26408166817</v>
      </c>
      <c r="W316" s="81">
        <f t="shared" si="86"/>
        <v>381333.27310868865</v>
      </c>
      <c r="X316" s="45">
        <f t="shared" si="87"/>
        <v>771883.53719035676</v>
      </c>
      <c r="Y316" s="45" t="s">
        <v>2752</v>
      </c>
      <c r="Z316" s="45" t="str">
        <f t="shared" si="88"/>
        <v>No</v>
      </c>
      <c r="AA316" s="45" t="str">
        <f t="shared" si="88"/>
        <v>Yes</v>
      </c>
      <c r="AB316" s="45" t="str">
        <f t="shared" si="89"/>
        <v>Yes</v>
      </c>
      <c r="AC316" s="82">
        <f t="shared" si="90"/>
        <v>0.1</v>
      </c>
      <c r="AD316" s="82">
        <f t="shared" si="90"/>
        <v>0.46</v>
      </c>
      <c r="AE316" s="45">
        <f t="shared" si="91"/>
        <v>229735.4494598048</v>
      </c>
      <c r="AF316" s="45">
        <f t="shared" si="91"/>
        <v>1349333.1202307444</v>
      </c>
      <c r="AG316" s="45">
        <f t="shared" si="92"/>
        <v>1579068.5696905493</v>
      </c>
      <c r="AH316" s="47">
        <f>IFERROR(ROUNDDOWN(INDEX('90% of ACR'!K:K,MATCH(H:H,'90% of ACR'!A:A,0))*IF(I316&gt;0,IF(O316&gt;0,$R$4*MAX(O316-V316,0),0),0)/I316,2),0)</f>
        <v>0</v>
      </c>
      <c r="AI316" s="82">
        <f>IFERROR(ROUNDDOWN(INDEX('90% of ACR'!R:R,MATCH(H:H,'90% of ACR'!A:A,0))*IF(J316&gt;0,IF(P316&gt;0,$R$4*MAX(P316-W316,0),0),0)/J316,2),0)</f>
        <v>0.45</v>
      </c>
      <c r="AJ316" s="45">
        <f t="shared" si="93"/>
        <v>0</v>
      </c>
      <c r="AK316" s="45">
        <f t="shared" si="93"/>
        <v>1319999.7915300759</v>
      </c>
      <c r="AL316" s="47">
        <f t="shared" si="94"/>
        <v>0.17</v>
      </c>
      <c r="AM316" s="47">
        <f t="shared" si="94"/>
        <v>0.58000000000000007</v>
      </c>
      <c r="AN316" s="83">
        <f>IFERROR(INDEX('Fee Calc'!P:P,MATCH(C316,'Fee Calc'!F:F,0)),0)</f>
        <v>2091883.3287204329</v>
      </c>
      <c r="AO316" s="83">
        <f>IFERROR(INDEX('Fee Calc'!Q:Q,MATCH(C316,'Fee Calc'!F:F,0)),0)</f>
        <v>129109.19593561442</v>
      </c>
      <c r="AP316" s="83">
        <f t="shared" si="95"/>
        <v>2220992.5246560476</v>
      </c>
      <c r="AQ316" s="70">
        <f t="shared" si="96"/>
        <v>948434.87978892121</v>
      </c>
      <c r="AR316" s="70">
        <f t="shared" si="97"/>
        <v>474217.43989446061</v>
      </c>
      <c r="AS316" s="70">
        <f t="shared" si="98"/>
        <v>474217.43989446061</v>
      </c>
    </row>
    <row r="317" spans="1:45">
      <c r="A317" s="104" t="s">
        <v>602</v>
      </c>
      <c r="B317" s="124" t="s">
        <v>602</v>
      </c>
      <c r="C317" s="31" t="s">
        <v>603</v>
      </c>
      <c r="D317" s="125" t="s">
        <v>603</v>
      </c>
      <c r="E317" s="119" t="s">
        <v>604</v>
      </c>
      <c r="F317" s="100" t="s">
        <v>2291</v>
      </c>
      <c r="G317" s="100" t="s">
        <v>1548</v>
      </c>
      <c r="H317" s="43" t="str">
        <f t="shared" si="81"/>
        <v>Rural Nueces</v>
      </c>
      <c r="I317" s="45">
        <f>INDEX('Fee Calc'!M:M,MATCH(C:C,'Fee Calc'!F:F,0))</f>
        <v>2963503.0302899876</v>
      </c>
      <c r="J317" s="45">
        <f>INDEX('Fee Calc'!L:L,MATCH(C:C,'Fee Calc'!F:F,0))</f>
        <v>2462843.1069589476</v>
      </c>
      <c r="K317" s="45">
        <f t="shared" si="82"/>
        <v>5426346.1372489352</v>
      </c>
      <c r="L317" s="45">
        <v>563647.49</v>
      </c>
      <c r="M317" s="45">
        <v>262154.69</v>
      </c>
      <c r="N317" s="45">
        <f t="shared" si="83"/>
        <v>825802.17999999993</v>
      </c>
      <c r="O317" s="45">
        <v>776988.04457095731</v>
      </c>
      <c r="P317" s="45">
        <v>1525268.0851417636</v>
      </c>
      <c r="Q317" s="45">
        <f t="shared" si="84"/>
        <v>2302256.1297127209</v>
      </c>
      <c r="R317" s="45" t="str">
        <f t="shared" si="85"/>
        <v>Yes</v>
      </c>
      <c r="S317" s="46" t="str">
        <f t="shared" si="85"/>
        <v>Yes</v>
      </c>
      <c r="T317" s="47">
        <f>ROUND(INDEX(Summary!H:H,MATCH(H:H,Summary!A:A,0)),2)</f>
        <v>0.17</v>
      </c>
      <c r="U317" s="47">
        <f>ROUND(INDEX(Summary!I:I,MATCH(H:H,Summary!A:A,0)),2)</f>
        <v>0.13</v>
      </c>
      <c r="V317" s="81">
        <f t="shared" si="86"/>
        <v>503795.51514929795</v>
      </c>
      <c r="W317" s="81">
        <f t="shared" si="86"/>
        <v>320169.60390466318</v>
      </c>
      <c r="X317" s="45">
        <f t="shared" si="87"/>
        <v>823965.11905396113</v>
      </c>
      <c r="Y317" s="45" t="s">
        <v>2752</v>
      </c>
      <c r="Z317" s="45" t="str">
        <f t="shared" si="88"/>
        <v>No</v>
      </c>
      <c r="AA317" s="45" t="str">
        <f t="shared" si="88"/>
        <v>Yes</v>
      </c>
      <c r="AB317" s="45" t="str">
        <f t="shared" si="89"/>
        <v>Yes</v>
      </c>
      <c r="AC317" s="82">
        <f t="shared" si="90"/>
        <v>0.06</v>
      </c>
      <c r="AD317" s="82">
        <f t="shared" si="90"/>
        <v>0.34</v>
      </c>
      <c r="AE317" s="45">
        <f t="shared" si="91"/>
        <v>177810.18181739925</v>
      </c>
      <c r="AF317" s="45">
        <f t="shared" si="91"/>
        <v>837366.65636604221</v>
      </c>
      <c r="AG317" s="45">
        <f t="shared" si="92"/>
        <v>1015176.8381834414</v>
      </c>
      <c r="AH317" s="47">
        <f>IFERROR(ROUNDDOWN(INDEX('90% of ACR'!K:K,MATCH(H:H,'90% of ACR'!A:A,0))*IF(I317&gt;0,IF(O317&gt;0,$R$4*MAX(O317-V317,0),0),0)/I317,2),0)</f>
        <v>0</v>
      </c>
      <c r="AI317" s="82">
        <f>IFERROR(ROUNDDOWN(INDEX('90% of ACR'!R:R,MATCH(H:H,'90% of ACR'!A:A,0))*IF(J317&gt;0,IF(P317&gt;0,$R$4*MAX(P317-W317,0),0),0)/J317,2),0)</f>
        <v>0.34</v>
      </c>
      <c r="AJ317" s="45">
        <f t="shared" si="93"/>
        <v>0</v>
      </c>
      <c r="AK317" s="45">
        <f t="shared" si="93"/>
        <v>837366.65636604221</v>
      </c>
      <c r="AL317" s="47">
        <f t="shared" si="94"/>
        <v>0.17</v>
      </c>
      <c r="AM317" s="47">
        <f t="shared" si="94"/>
        <v>0.47000000000000003</v>
      </c>
      <c r="AN317" s="83">
        <f>IFERROR(INDEX('Fee Calc'!P:P,MATCH(C317,'Fee Calc'!F:F,0)),0)</f>
        <v>1661331.7754200033</v>
      </c>
      <c r="AO317" s="83">
        <f>IFERROR(INDEX('Fee Calc'!Q:Q,MATCH(C317,'Fee Calc'!F:F,0)),0)</f>
        <v>102165.46673751793</v>
      </c>
      <c r="AP317" s="83">
        <f t="shared" si="95"/>
        <v>1763497.2421575212</v>
      </c>
      <c r="AQ317" s="70">
        <f t="shared" si="96"/>
        <v>753069.75431301061</v>
      </c>
      <c r="AR317" s="70">
        <f t="shared" si="97"/>
        <v>376534.8771565053</v>
      </c>
      <c r="AS317" s="70">
        <f t="shared" si="98"/>
        <v>376534.8771565053</v>
      </c>
    </row>
    <row r="318" spans="1:45">
      <c r="A318" s="104" t="s">
        <v>608</v>
      </c>
      <c r="B318" s="124" t="s">
        <v>608</v>
      </c>
      <c r="C318" s="31" t="s">
        <v>609</v>
      </c>
      <c r="D318" s="125" t="s">
        <v>609</v>
      </c>
      <c r="E318" s="119" t="s">
        <v>2902</v>
      </c>
      <c r="F318" s="100" t="s">
        <v>2291</v>
      </c>
      <c r="G318" s="100" t="s">
        <v>1548</v>
      </c>
      <c r="H318" s="43" t="str">
        <f t="shared" si="81"/>
        <v>Rural Nueces</v>
      </c>
      <c r="I318" s="45">
        <f>INDEX('Fee Calc'!M:M,MATCH(C:C,'Fee Calc'!F:F,0))</f>
        <v>3229282.4264650745</v>
      </c>
      <c r="J318" s="45">
        <f>INDEX('Fee Calc'!L:L,MATCH(C:C,'Fee Calc'!F:F,0))</f>
        <v>2055709.2731207618</v>
      </c>
      <c r="K318" s="45">
        <f t="shared" si="82"/>
        <v>5284991.6995858364</v>
      </c>
      <c r="L318" s="45">
        <v>283787.64</v>
      </c>
      <c r="M318" s="45">
        <v>311466.46999999997</v>
      </c>
      <c r="N318" s="45">
        <f t="shared" si="83"/>
        <v>595254.11</v>
      </c>
      <c r="O318" s="45">
        <v>814844.33280566707</v>
      </c>
      <c r="P318" s="45">
        <v>1678863.8264892774</v>
      </c>
      <c r="Q318" s="45">
        <f t="shared" si="84"/>
        <v>2493708.1592949443</v>
      </c>
      <c r="R318" s="45" t="str">
        <f t="shared" si="85"/>
        <v>Yes</v>
      </c>
      <c r="S318" s="46" t="str">
        <f t="shared" si="85"/>
        <v>Yes</v>
      </c>
      <c r="T318" s="47">
        <f>ROUND(INDEX(Summary!H:H,MATCH(H:H,Summary!A:A,0)),2)</f>
        <v>0.17</v>
      </c>
      <c r="U318" s="47">
        <f>ROUND(INDEX(Summary!I:I,MATCH(H:H,Summary!A:A,0)),2)</f>
        <v>0.13</v>
      </c>
      <c r="V318" s="81">
        <f t="shared" si="86"/>
        <v>548978.01249906269</v>
      </c>
      <c r="W318" s="81">
        <f t="shared" si="86"/>
        <v>267242.20550569904</v>
      </c>
      <c r="X318" s="45">
        <f t="shared" si="87"/>
        <v>816220.21800476173</v>
      </c>
      <c r="Y318" s="45" t="s">
        <v>2752</v>
      </c>
      <c r="Z318" s="45" t="str">
        <f t="shared" si="88"/>
        <v>No</v>
      </c>
      <c r="AA318" s="45" t="str">
        <f t="shared" si="88"/>
        <v>Yes</v>
      </c>
      <c r="AB318" s="45" t="str">
        <f t="shared" si="89"/>
        <v>Yes</v>
      </c>
      <c r="AC318" s="82">
        <f t="shared" si="90"/>
        <v>0.06</v>
      </c>
      <c r="AD318" s="82">
        <f t="shared" si="90"/>
        <v>0.48</v>
      </c>
      <c r="AE318" s="45">
        <f t="shared" si="91"/>
        <v>193756.94558790445</v>
      </c>
      <c r="AF318" s="45">
        <f t="shared" si="91"/>
        <v>986740.45109796571</v>
      </c>
      <c r="AG318" s="45">
        <f t="shared" si="92"/>
        <v>1180497.3966858701</v>
      </c>
      <c r="AH318" s="47">
        <f>IFERROR(ROUNDDOWN(INDEX('90% of ACR'!K:K,MATCH(H:H,'90% of ACR'!A:A,0))*IF(I318&gt;0,IF(O318&gt;0,$R$4*MAX(O318-V318,0),0),0)/I318,2),0)</f>
        <v>0</v>
      </c>
      <c r="AI318" s="82">
        <f>IFERROR(ROUNDDOWN(INDEX('90% of ACR'!R:R,MATCH(H:H,'90% of ACR'!A:A,0))*IF(J318&gt;0,IF(P318&gt;0,$R$4*MAX(P318-W318,0),0),0)/J318,2),0)</f>
        <v>0.47</v>
      </c>
      <c r="AJ318" s="45">
        <f t="shared" si="93"/>
        <v>0</v>
      </c>
      <c r="AK318" s="45">
        <f t="shared" si="93"/>
        <v>966183.35836675798</v>
      </c>
      <c r="AL318" s="47">
        <f t="shared" si="94"/>
        <v>0.17</v>
      </c>
      <c r="AM318" s="47">
        <f t="shared" si="94"/>
        <v>0.6</v>
      </c>
      <c r="AN318" s="83">
        <f>IFERROR(INDEX('Fee Calc'!P:P,MATCH(C318,'Fee Calc'!F:F,0)),0)</f>
        <v>1782403.5763715198</v>
      </c>
      <c r="AO318" s="83">
        <f>IFERROR(INDEX('Fee Calc'!Q:Q,MATCH(C318,'Fee Calc'!F:F,0)),0)</f>
        <v>109770.91475679408</v>
      </c>
      <c r="AP318" s="83">
        <f t="shared" si="95"/>
        <v>1892174.4911283138</v>
      </c>
      <c r="AQ318" s="70">
        <f t="shared" si="96"/>
        <v>808019.05729550612</v>
      </c>
      <c r="AR318" s="70">
        <f t="shared" si="97"/>
        <v>404009.52864775306</v>
      </c>
      <c r="AS318" s="70">
        <f t="shared" si="98"/>
        <v>404009.52864775306</v>
      </c>
    </row>
    <row r="319" spans="1:45">
      <c r="A319" s="104" t="s">
        <v>1555</v>
      </c>
      <c r="B319" s="124" t="s">
        <v>1555</v>
      </c>
      <c r="C319" s="31" t="s">
        <v>1711</v>
      </c>
      <c r="D319" s="125" t="s">
        <v>1711</v>
      </c>
      <c r="E319" s="119" t="s">
        <v>2903</v>
      </c>
      <c r="F319" s="100" t="s">
        <v>2279</v>
      </c>
      <c r="G319" s="100" t="s">
        <v>1548</v>
      </c>
      <c r="H319" s="43" t="str">
        <f t="shared" si="81"/>
        <v>Urban Nueces</v>
      </c>
      <c r="I319" s="45">
        <f>INDEX('Fee Calc'!M:M,MATCH(C:C,'Fee Calc'!F:F,0))</f>
        <v>23703670.333212856</v>
      </c>
      <c r="J319" s="45">
        <f>INDEX('Fee Calc'!L:L,MATCH(C:C,'Fee Calc'!F:F,0))</f>
        <v>10602614.0880509</v>
      </c>
      <c r="K319" s="45">
        <f t="shared" si="82"/>
        <v>34306284.421263754</v>
      </c>
      <c r="L319" s="45">
        <v>-1466446.19</v>
      </c>
      <c r="M319" s="45">
        <v>7256652.0199999996</v>
      </c>
      <c r="N319" s="45">
        <f t="shared" si="83"/>
        <v>5790205.8300000001</v>
      </c>
      <c r="O319" s="45">
        <v>16617121.253670894</v>
      </c>
      <c r="P319" s="45">
        <v>9713202.9597727619</v>
      </c>
      <c r="Q319" s="45">
        <f t="shared" si="84"/>
        <v>26330324.213443656</v>
      </c>
      <c r="R319" s="45" t="str">
        <f t="shared" si="85"/>
        <v>Yes</v>
      </c>
      <c r="S319" s="46" t="str">
        <f t="shared" si="85"/>
        <v>Yes</v>
      </c>
      <c r="T319" s="47">
        <f>ROUND(INDEX(Summary!H:H,MATCH(H:H,Summary!A:A,0)),2)</f>
        <v>0.28999999999999998</v>
      </c>
      <c r="U319" s="47">
        <f>ROUND(INDEX(Summary!I:I,MATCH(H:H,Summary!A:A,0)),2)</f>
        <v>0.68</v>
      </c>
      <c r="V319" s="81">
        <f t="shared" si="86"/>
        <v>6874064.3966317279</v>
      </c>
      <c r="W319" s="81">
        <f t="shared" si="86"/>
        <v>7209777.5798746124</v>
      </c>
      <c r="X319" s="45">
        <f t="shared" si="87"/>
        <v>14083841.976506341</v>
      </c>
      <c r="Y319" s="45" t="s">
        <v>2752</v>
      </c>
      <c r="Z319" s="45" t="str">
        <f t="shared" si="88"/>
        <v>Yes</v>
      </c>
      <c r="AA319" s="45" t="str">
        <f t="shared" si="88"/>
        <v>Yes</v>
      </c>
      <c r="AB319" s="45" t="str">
        <f t="shared" si="89"/>
        <v>Yes</v>
      </c>
      <c r="AC319" s="82">
        <f t="shared" si="90"/>
        <v>0.28999999999999998</v>
      </c>
      <c r="AD319" s="82">
        <f t="shared" si="90"/>
        <v>0.16</v>
      </c>
      <c r="AE319" s="45">
        <f t="shared" si="91"/>
        <v>6874064.3966317279</v>
      </c>
      <c r="AF319" s="45">
        <f t="shared" si="91"/>
        <v>1696418.2540881441</v>
      </c>
      <c r="AG319" s="45">
        <f t="shared" si="92"/>
        <v>8570482.6507198717</v>
      </c>
      <c r="AH319" s="47">
        <f>IFERROR(ROUNDDOWN(INDEX('90% of ACR'!K:K,MATCH(H:H,'90% of ACR'!A:A,0))*IF(I319&gt;0,IF(O319&gt;0,$R$4*MAX(O319-V319,0),0),0)/I319,2),0)</f>
        <v>0.28000000000000003</v>
      </c>
      <c r="AI319" s="82">
        <f>IFERROR(ROUNDDOWN(INDEX('90% of ACR'!R:R,MATCH(H:H,'90% of ACR'!A:A,0))*IF(J319&gt;0,IF(P319&gt;0,$R$4*MAX(P319-W319,0),0),0)/J319,2),0)</f>
        <v>0.14000000000000001</v>
      </c>
      <c r="AJ319" s="45">
        <f t="shared" si="93"/>
        <v>6637027.6932995999</v>
      </c>
      <c r="AK319" s="45">
        <f t="shared" si="93"/>
        <v>1484365.9723271262</v>
      </c>
      <c r="AL319" s="47">
        <f t="shared" si="94"/>
        <v>0.57000000000000006</v>
      </c>
      <c r="AM319" s="47">
        <f t="shared" si="94"/>
        <v>0.82000000000000006</v>
      </c>
      <c r="AN319" s="83">
        <f>IFERROR(INDEX('Fee Calc'!P:P,MATCH(C319,'Fee Calc'!F:F,0)),0)</f>
        <v>22205235.642133068</v>
      </c>
      <c r="AO319" s="83">
        <f>IFERROR(INDEX('Fee Calc'!Q:Q,MATCH(C319,'Fee Calc'!F:F,0)),0)</f>
        <v>1385380.0997771819</v>
      </c>
      <c r="AP319" s="83">
        <f t="shared" si="95"/>
        <v>23590615.741910249</v>
      </c>
      <c r="AQ319" s="70">
        <f t="shared" si="96"/>
        <v>10073947.821499417</v>
      </c>
      <c r="AR319" s="70">
        <f t="shared" si="97"/>
        <v>5036973.9107497083</v>
      </c>
      <c r="AS319" s="70">
        <f t="shared" si="98"/>
        <v>5036973.9107497083</v>
      </c>
    </row>
    <row r="320" spans="1:45">
      <c r="A320" s="104" t="s">
        <v>61</v>
      </c>
      <c r="B320" s="124" t="s">
        <v>61</v>
      </c>
      <c r="C320" s="31" t="s">
        <v>62</v>
      </c>
      <c r="D320" s="125" t="s">
        <v>62</v>
      </c>
      <c r="E320" s="119" t="s">
        <v>2904</v>
      </c>
      <c r="F320" s="100" t="s">
        <v>2279</v>
      </c>
      <c r="G320" s="100" t="s">
        <v>487</v>
      </c>
      <c r="H320" s="43" t="str">
        <f t="shared" si="81"/>
        <v>Urban Bexar</v>
      </c>
      <c r="I320" s="45">
        <f>INDEX('Fee Calc'!M:M,MATCH(C:C,'Fee Calc'!F:F,0))</f>
        <v>11816308.66050351</v>
      </c>
      <c r="J320" s="45">
        <f>INDEX('Fee Calc'!L:L,MATCH(C:C,'Fee Calc'!F:F,0))</f>
        <v>6894604.6641071262</v>
      </c>
      <c r="K320" s="45">
        <f t="shared" si="82"/>
        <v>18710913.324610636</v>
      </c>
      <c r="L320" s="45">
        <v>9060437.5800000001</v>
      </c>
      <c r="M320" s="45">
        <v>4257171.63</v>
      </c>
      <c r="N320" s="45">
        <f t="shared" si="83"/>
        <v>13317609.210000001</v>
      </c>
      <c r="O320" s="45">
        <v>17518732.115383565</v>
      </c>
      <c r="P320" s="45">
        <v>8381607.3462024471</v>
      </c>
      <c r="Q320" s="45">
        <f t="shared" si="84"/>
        <v>25900339.461586013</v>
      </c>
      <c r="R320" s="45" t="str">
        <f t="shared" si="85"/>
        <v>Yes</v>
      </c>
      <c r="S320" s="46" t="str">
        <f t="shared" si="85"/>
        <v>Yes</v>
      </c>
      <c r="T320" s="47">
        <f>ROUND(INDEX(Summary!H:H,MATCH(H:H,Summary!A:A,0)),2)</f>
        <v>0.4</v>
      </c>
      <c r="U320" s="47">
        <f>ROUND(INDEX(Summary!I:I,MATCH(H:H,Summary!A:A,0)),2)</f>
        <v>0.45</v>
      </c>
      <c r="V320" s="81">
        <f t="shared" si="86"/>
        <v>4726523.4642014047</v>
      </c>
      <c r="W320" s="81">
        <f t="shared" si="86"/>
        <v>3102572.0988482069</v>
      </c>
      <c r="X320" s="45">
        <f t="shared" si="87"/>
        <v>7829095.5630496116</v>
      </c>
      <c r="Y320" s="45" t="s">
        <v>2752</v>
      </c>
      <c r="Z320" s="45" t="str">
        <f t="shared" si="88"/>
        <v>Yes</v>
      </c>
      <c r="AA320" s="45" t="str">
        <f t="shared" si="88"/>
        <v>Yes</v>
      </c>
      <c r="AB320" s="45" t="str">
        <f t="shared" si="89"/>
        <v>Yes</v>
      </c>
      <c r="AC320" s="82">
        <f t="shared" si="90"/>
        <v>0.75</v>
      </c>
      <c r="AD320" s="82">
        <f t="shared" si="90"/>
        <v>0.53</v>
      </c>
      <c r="AE320" s="45">
        <f t="shared" si="91"/>
        <v>8862231.4953776337</v>
      </c>
      <c r="AF320" s="45">
        <f t="shared" si="91"/>
        <v>3654140.4719767771</v>
      </c>
      <c r="AG320" s="45">
        <f t="shared" si="92"/>
        <v>12516371.967354411</v>
      </c>
      <c r="AH320" s="47">
        <f>IFERROR(ROUNDDOWN(INDEX('90% of ACR'!K:K,MATCH(H:H,'90% of ACR'!A:A,0))*IF(I320&gt;0,IF(O320&gt;0,$R$4*MAX(O320-V320,0),0),0)/I320,2),0)</f>
        <v>0.66</v>
      </c>
      <c r="AI320" s="82">
        <f>IFERROR(ROUNDDOWN(INDEX('90% of ACR'!R:R,MATCH(H:H,'90% of ACR'!A:A,0))*IF(J320&gt;0,IF(P320&gt;0,$R$4*MAX(P320-W320,0),0),0)/J320,2),0)</f>
        <v>0.3</v>
      </c>
      <c r="AJ320" s="45">
        <f t="shared" si="93"/>
        <v>7798763.7159323171</v>
      </c>
      <c r="AK320" s="45">
        <f t="shared" si="93"/>
        <v>2068381.3992321377</v>
      </c>
      <c r="AL320" s="47">
        <f t="shared" si="94"/>
        <v>1.06</v>
      </c>
      <c r="AM320" s="47">
        <f t="shared" si="94"/>
        <v>0.75</v>
      </c>
      <c r="AN320" s="83">
        <f>IFERROR(INDEX('Fee Calc'!P:P,MATCH(C320,'Fee Calc'!F:F,0)),0)</f>
        <v>17696240.678214066</v>
      </c>
      <c r="AO320" s="83">
        <f>IFERROR(INDEX('Fee Calc'!Q:Q,MATCH(C320,'Fee Calc'!F:F,0)),0)</f>
        <v>1096645.6524150858</v>
      </c>
      <c r="AP320" s="83">
        <f t="shared" si="95"/>
        <v>18792886.330629151</v>
      </c>
      <c r="AQ320" s="70">
        <f t="shared" si="96"/>
        <v>8025163.8355412278</v>
      </c>
      <c r="AR320" s="70">
        <f t="shared" si="97"/>
        <v>4012581.9177706139</v>
      </c>
      <c r="AS320" s="70">
        <f t="shared" si="98"/>
        <v>4012581.9177706139</v>
      </c>
    </row>
    <row r="321" spans="1:45">
      <c r="A321" s="104" t="s">
        <v>70</v>
      </c>
      <c r="B321" s="124" t="s">
        <v>70</v>
      </c>
      <c r="C321" s="31" t="s">
        <v>71</v>
      </c>
      <c r="D321" s="125" t="s">
        <v>71</v>
      </c>
      <c r="E321" s="119" t="s">
        <v>2905</v>
      </c>
      <c r="F321" s="100" t="s">
        <v>1547</v>
      </c>
      <c r="G321" s="100" t="s">
        <v>487</v>
      </c>
      <c r="H321" s="43" t="str">
        <f t="shared" si="81"/>
        <v>Children's Bexar</v>
      </c>
      <c r="I321" s="45">
        <f>INDEX('Fee Calc'!M:M,MATCH(C:C,'Fee Calc'!F:F,0))</f>
        <v>70226406.885589048</v>
      </c>
      <c r="J321" s="45">
        <f>INDEX('Fee Calc'!L:L,MATCH(C:C,'Fee Calc'!F:F,0))</f>
        <v>27826852.702694103</v>
      </c>
      <c r="K321" s="45">
        <f t="shared" si="82"/>
        <v>98053259.588283151</v>
      </c>
      <c r="L321" s="45">
        <v>20087868.800000001</v>
      </c>
      <c r="M321" s="45">
        <v>13202818.75</v>
      </c>
      <c r="N321" s="45">
        <f t="shared" si="83"/>
        <v>33290687.550000001</v>
      </c>
      <c r="O321" s="45">
        <v>65685115.251137175</v>
      </c>
      <c r="P321" s="45">
        <v>38640943.660023317</v>
      </c>
      <c r="Q321" s="45">
        <f t="shared" si="84"/>
        <v>104326058.9111605</v>
      </c>
      <c r="R321" s="45" t="str">
        <f t="shared" si="85"/>
        <v>Yes</v>
      </c>
      <c r="S321" s="46" t="str">
        <f t="shared" si="85"/>
        <v>Yes</v>
      </c>
      <c r="T321" s="47">
        <f>ROUND(INDEX(Summary!H:H,MATCH(H:H,Summary!A:A,0)),2)</f>
        <v>0.28999999999999998</v>
      </c>
      <c r="U321" s="47">
        <f>ROUND(INDEX(Summary!I:I,MATCH(H:H,Summary!A:A,0)),2)</f>
        <v>0.47</v>
      </c>
      <c r="V321" s="81">
        <f t="shared" si="86"/>
        <v>20365657.996820822</v>
      </c>
      <c r="W321" s="81">
        <f t="shared" si="86"/>
        <v>13078620.770266227</v>
      </c>
      <c r="X321" s="45">
        <f t="shared" si="87"/>
        <v>33444278.76708705</v>
      </c>
      <c r="Y321" s="45" t="s">
        <v>2752</v>
      </c>
      <c r="Z321" s="45" t="str">
        <f t="shared" si="88"/>
        <v>Yes</v>
      </c>
      <c r="AA321" s="45" t="str">
        <f t="shared" si="88"/>
        <v>Yes</v>
      </c>
      <c r="AB321" s="45" t="str">
        <f t="shared" si="89"/>
        <v>Yes</v>
      </c>
      <c r="AC321" s="82">
        <f t="shared" si="90"/>
        <v>0.45</v>
      </c>
      <c r="AD321" s="82">
        <f t="shared" si="90"/>
        <v>0.64</v>
      </c>
      <c r="AE321" s="45">
        <f t="shared" si="91"/>
        <v>31601883.098515071</v>
      </c>
      <c r="AF321" s="45">
        <f t="shared" si="91"/>
        <v>17809185.729724225</v>
      </c>
      <c r="AG321" s="45">
        <f t="shared" si="92"/>
        <v>49411068.828239292</v>
      </c>
      <c r="AH321" s="47">
        <f>IFERROR(ROUNDDOWN(INDEX('90% of ACR'!K:K,MATCH(H:H,'90% of ACR'!A:A,0))*IF(I321&gt;0,IF(O321&gt;0,$R$4*MAX(O321-V321,0),0),0)/I321,2),0)</f>
        <v>0.44</v>
      </c>
      <c r="AI321" s="82">
        <f>IFERROR(ROUNDDOWN(INDEX('90% of ACR'!R:R,MATCH(H:H,'90% of ACR'!A:A,0))*IF(J321&gt;0,IF(P321&gt;0,$R$4*MAX(P321-W321,0),0),0)/J321,2),0)</f>
        <v>0.63</v>
      </c>
      <c r="AJ321" s="45">
        <f t="shared" si="93"/>
        <v>30899619.029659182</v>
      </c>
      <c r="AK321" s="45">
        <f t="shared" si="93"/>
        <v>17530917.202697285</v>
      </c>
      <c r="AL321" s="47">
        <f t="shared" si="94"/>
        <v>0.73</v>
      </c>
      <c r="AM321" s="47">
        <f t="shared" si="94"/>
        <v>1.1000000000000001</v>
      </c>
      <c r="AN321" s="83">
        <f>IFERROR(INDEX('Fee Calc'!P:P,MATCH(C321,'Fee Calc'!F:F,0)),0)</f>
        <v>81874814.999443516</v>
      </c>
      <c r="AO321" s="83">
        <f>IFERROR(INDEX('Fee Calc'!Q:Q,MATCH(C321,'Fee Calc'!F:F,0)),0)</f>
        <v>4995622.7859375635</v>
      </c>
      <c r="AP321" s="83">
        <f t="shared" si="95"/>
        <v>86870437.785381079</v>
      </c>
      <c r="AQ321" s="70">
        <f t="shared" si="96"/>
        <v>37096456.788366847</v>
      </c>
      <c r="AR321" s="70">
        <f t="shared" si="97"/>
        <v>18548228.394183423</v>
      </c>
      <c r="AS321" s="70">
        <f t="shared" si="98"/>
        <v>18548228.394183423</v>
      </c>
    </row>
    <row r="322" spans="1:45">
      <c r="A322" s="104" t="s">
        <v>596</v>
      </c>
      <c r="B322" s="124" t="s">
        <v>596</v>
      </c>
      <c r="C322" s="31" t="s">
        <v>597</v>
      </c>
      <c r="D322" s="125" t="s">
        <v>597</v>
      </c>
      <c r="E322" s="119" t="s">
        <v>2906</v>
      </c>
      <c r="F322" s="100" t="s">
        <v>2291</v>
      </c>
      <c r="G322" s="100" t="s">
        <v>310</v>
      </c>
      <c r="H322" s="43" t="str">
        <f t="shared" si="81"/>
        <v>Rural MRSA Northeast</v>
      </c>
      <c r="I322" s="45">
        <f>INDEX('Fee Calc'!M:M,MATCH(C:C,'Fee Calc'!F:F,0))</f>
        <v>4074299.3650590982</v>
      </c>
      <c r="J322" s="45">
        <f>INDEX('Fee Calc'!L:L,MATCH(C:C,'Fee Calc'!F:F,0))</f>
        <v>2787782.4761936143</v>
      </c>
      <c r="K322" s="45">
        <f t="shared" si="82"/>
        <v>6862081.8412527125</v>
      </c>
      <c r="L322" s="45">
        <v>-176381.33</v>
      </c>
      <c r="M322" s="45">
        <v>559372.82999999996</v>
      </c>
      <c r="N322" s="45">
        <f t="shared" si="83"/>
        <v>382991.5</v>
      </c>
      <c r="O322" s="45">
        <v>2824175.5380978077</v>
      </c>
      <c r="P322" s="45">
        <v>2017967.8276866262</v>
      </c>
      <c r="Q322" s="45">
        <f t="shared" si="84"/>
        <v>4842143.3657844337</v>
      </c>
      <c r="R322" s="45" t="str">
        <f t="shared" si="85"/>
        <v>Yes</v>
      </c>
      <c r="S322" s="46" t="str">
        <f t="shared" si="85"/>
        <v>Yes</v>
      </c>
      <c r="T322" s="47">
        <f>ROUND(INDEX(Summary!H:H,MATCH(H:H,Summary!A:A,0)),2)</f>
        <v>0</v>
      </c>
      <c r="U322" s="47">
        <f>ROUND(INDEX(Summary!I:I,MATCH(H:H,Summary!A:A,0)),2)</f>
        <v>0.3</v>
      </c>
      <c r="V322" s="81">
        <f t="shared" si="86"/>
        <v>0</v>
      </c>
      <c r="W322" s="81">
        <f t="shared" si="86"/>
        <v>836334.74285808427</v>
      </c>
      <c r="X322" s="45">
        <f t="shared" si="87"/>
        <v>836334.74285808427</v>
      </c>
      <c r="Y322" s="45" t="s">
        <v>2752</v>
      </c>
      <c r="Z322" s="45" t="str">
        <f t="shared" si="88"/>
        <v>Yes</v>
      </c>
      <c r="AA322" s="45" t="str">
        <f t="shared" si="88"/>
        <v>Yes</v>
      </c>
      <c r="AB322" s="45" t="str">
        <f t="shared" si="89"/>
        <v>Yes</v>
      </c>
      <c r="AC322" s="82">
        <f t="shared" si="90"/>
        <v>0.48</v>
      </c>
      <c r="AD322" s="82">
        <f t="shared" si="90"/>
        <v>0.3</v>
      </c>
      <c r="AE322" s="45">
        <f t="shared" si="91"/>
        <v>1955663.6952283671</v>
      </c>
      <c r="AF322" s="45">
        <f t="shared" si="91"/>
        <v>836334.74285808427</v>
      </c>
      <c r="AG322" s="45">
        <f t="shared" si="92"/>
        <v>2791998.4380864515</v>
      </c>
      <c r="AH322" s="47">
        <f>IFERROR(ROUNDDOWN(INDEX('90% of ACR'!K:K,MATCH(H:H,'90% of ACR'!A:A,0))*IF(I322&gt;0,IF(O322&gt;0,$R$4*MAX(O322-V322,0),0),0)/I322,2),0)</f>
        <v>0.33</v>
      </c>
      <c r="AI322" s="82">
        <f>IFERROR(ROUNDDOWN(INDEX('90% of ACR'!R:R,MATCH(H:H,'90% of ACR'!A:A,0))*IF(J322&gt;0,IF(P322&gt;0,$R$4*MAX(P322-W322,0),0),0)/J322,2),0)</f>
        <v>0.28999999999999998</v>
      </c>
      <c r="AJ322" s="45">
        <f t="shared" si="93"/>
        <v>1344518.7904695026</v>
      </c>
      <c r="AK322" s="45">
        <f t="shared" si="93"/>
        <v>808456.91809614806</v>
      </c>
      <c r="AL322" s="47">
        <f t="shared" si="94"/>
        <v>0.33</v>
      </c>
      <c r="AM322" s="47">
        <f t="shared" si="94"/>
        <v>0.59</v>
      </c>
      <c r="AN322" s="83">
        <f>IFERROR(INDEX('Fee Calc'!P:P,MATCH(C322,'Fee Calc'!F:F,0)),0)</f>
        <v>2989310.4514237349</v>
      </c>
      <c r="AO322" s="83">
        <f>IFERROR(INDEX('Fee Calc'!Q:Q,MATCH(C322,'Fee Calc'!F:F,0)),0)</f>
        <v>183978.70874983369</v>
      </c>
      <c r="AP322" s="83">
        <f t="shared" si="95"/>
        <v>3173289.1601735684</v>
      </c>
      <c r="AQ322" s="70">
        <f t="shared" si="96"/>
        <v>1355096.0166472392</v>
      </c>
      <c r="AR322" s="70">
        <f t="shared" si="97"/>
        <v>677548.00832361961</v>
      </c>
      <c r="AS322" s="70">
        <f t="shared" si="98"/>
        <v>677548.00832361961</v>
      </c>
    </row>
    <row r="323" spans="1:45">
      <c r="A323" s="104" t="s">
        <v>288</v>
      </c>
      <c r="B323" s="124" t="s">
        <v>288</v>
      </c>
      <c r="C323" s="31" t="s">
        <v>289</v>
      </c>
      <c r="D323" s="125" t="s">
        <v>289</v>
      </c>
      <c r="E323" s="119" t="s">
        <v>2907</v>
      </c>
      <c r="F323" s="100" t="s">
        <v>2291</v>
      </c>
      <c r="G323" s="100" t="s">
        <v>310</v>
      </c>
      <c r="H323" s="43" t="str">
        <f t="shared" si="81"/>
        <v>Rural MRSA Northeast</v>
      </c>
      <c r="I323" s="45">
        <f>INDEX('Fee Calc'!M:M,MATCH(C:C,'Fee Calc'!F:F,0))</f>
        <v>502375.20750437689</v>
      </c>
      <c r="J323" s="45">
        <f>INDEX('Fee Calc'!L:L,MATCH(C:C,'Fee Calc'!F:F,0))</f>
        <v>1413715.5310042142</v>
      </c>
      <c r="K323" s="45">
        <f t="shared" si="82"/>
        <v>1916090.738508591</v>
      </c>
      <c r="L323" s="45">
        <v>1412.77</v>
      </c>
      <c r="M323" s="45">
        <v>-617703.16</v>
      </c>
      <c r="N323" s="45">
        <f t="shared" si="83"/>
        <v>-616290.39</v>
      </c>
      <c r="O323" s="45">
        <v>4627.0285129379899</v>
      </c>
      <c r="P323" s="45">
        <v>1025829.9881393221</v>
      </c>
      <c r="Q323" s="45">
        <f t="shared" si="84"/>
        <v>1030457.0166522601</v>
      </c>
      <c r="R323" s="45" t="str">
        <f t="shared" si="85"/>
        <v>Yes</v>
      </c>
      <c r="S323" s="46" t="str">
        <f t="shared" si="85"/>
        <v>Yes</v>
      </c>
      <c r="T323" s="47">
        <f>ROUND(INDEX(Summary!H:H,MATCH(H:H,Summary!A:A,0)),2)</f>
        <v>0</v>
      </c>
      <c r="U323" s="47">
        <f>ROUND(INDEX(Summary!I:I,MATCH(H:H,Summary!A:A,0)),2)</f>
        <v>0.3</v>
      </c>
      <c r="V323" s="81">
        <f t="shared" si="86"/>
        <v>0</v>
      </c>
      <c r="W323" s="81">
        <f t="shared" si="86"/>
        <v>424114.65930126427</v>
      </c>
      <c r="X323" s="45">
        <f t="shared" si="87"/>
        <v>424114.65930126427</v>
      </c>
      <c r="Y323" s="45" t="s">
        <v>2752</v>
      </c>
      <c r="Z323" s="45" t="str">
        <f t="shared" si="88"/>
        <v>No</v>
      </c>
      <c r="AA323" s="45" t="str">
        <f t="shared" si="88"/>
        <v>Yes</v>
      </c>
      <c r="AB323" s="45" t="str">
        <f t="shared" si="89"/>
        <v>Yes</v>
      </c>
      <c r="AC323" s="82">
        <f t="shared" si="90"/>
        <v>0.01</v>
      </c>
      <c r="AD323" s="82">
        <f t="shared" si="90"/>
        <v>0.3</v>
      </c>
      <c r="AE323" s="45">
        <f t="shared" si="91"/>
        <v>5023.7520750437689</v>
      </c>
      <c r="AF323" s="45">
        <f t="shared" si="91"/>
        <v>424114.65930126427</v>
      </c>
      <c r="AG323" s="45">
        <f t="shared" si="92"/>
        <v>429138.41137630807</v>
      </c>
      <c r="AH323" s="47">
        <f>IFERROR(ROUNDDOWN(INDEX('90% of ACR'!K:K,MATCH(H:H,'90% of ACR'!A:A,0))*IF(I323&gt;0,IF(O323&gt;0,$R$4*MAX(O323-V323,0),0),0)/I323,2),0)</f>
        <v>0</v>
      </c>
      <c r="AI323" s="82">
        <f>IFERROR(ROUNDDOWN(INDEX('90% of ACR'!R:R,MATCH(H:H,'90% of ACR'!A:A,0))*IF(J323&gt;0,IF(P323&gt;0,$R$4*MAX(P323-W323,0),0),0)/J323,2),0)</f>
        <v>0.28999999999999998</v>
      </c>
      <c r="AJ323" s="45">
        <f t="shared" si="93"/>
        <v>0</v>
      </c>
      <c r="AK323" s="45">
        <f t="shared" si="93"/>
        <v>409977.50399122207</v>
      </c>
      <c r="AL323" s="47">
        <f t="shared" si="94"/>
        <v>0</v>
      </c>
      <c r="AM323" s="47">
        <f t="shared" si="94"/>
        <v>0.59</v>
      </c>
      <c r="AN323" s="83">
        <f>IFERROR(INDEX('Fee Calc'!P:P,MATCH(C323,'Fee Calc'!F:F,0)),0)</f>
        <v>834092.16329248634</v>
      </c>
      <c r="AO323" s="83">
        <f>IFERROR(INDEX('Fee Calc'!Q:Q,MATCH(C323,'Fee Calc'!F:F,0)),0)</f>
        <v>51358.876458135695</v>
      </c>
      <c r="AP323" s="83">
        <f t="shared" si="95"/>
        <v>885451.039750622</v>
      </c>
      <c r="AQ323" s="70">
        <f t="shared" si="96"/>
        <v>378115.92840678763</v>
      </c>
      <c r="AR323" s="70">
        <f t="shared" si="97"/>
        <v>189057.96420339381</v>
      </c>
      <c r="AS323" s="70">
        <f t="shared" si="98"/>
        <v>189057.96420339381</v>
      </c>
    </row>
    <row r="324" spans="1:45">
      <c r="A324" s="104" t="s">
        <v>901</v>
      </c>
      <c r="B324" s="124" t="s">
        <v>901</v>
      </c>
      <c r="C324" s="31" t="s">
        <v>902</v>
      </c>
      <c r="D324" s="125" t="s">
        <v>902</v>
      </c>
      <c r="E324" s="119" t="s">
        <v>2908</v>
      </c>
      <c r="F324" s="100" t="s">
        <v>2291</v>
      </c>
      <c r="G324" s="100" t="s">
        <v>310</v>
      </c>
      <c r="H324" s="43" t="str">
        <f t="shared" si="81"/>
        <v>Rural MRSA Northeast</v>
      </c>
      <c r="I324" s="45">
        <f>INDEX('Fee Calc'!M:M,MATCH(C:C,'Fee Calc'!F:F,0))</f>
        <v>21762.737835304451</v>
      </c>
      <c r="J324" s="45">
        <f>INDEX('Fee Calc'!L:L,MATCH(C:C,'Fee Calc'!F:F,0))</f>
        <v>520514.3685333688</v>
      </c>
      <c r="K324" s="45">
        <f t="shared" si="82"/>
        <v>542277.10636867327</v>
      </c>
      <c r="L324" s="45">
        <v>0</v>
      </c>
      <c r="M324" s="45">
        <v>-173711.95</v>
      </c>
      <c r="N324" s="45">
        <f t="shared" si="83"/>
        <v>-173711.95</v>
      </c>
      <c r="O324" s="45">
        <v>0</v>
      </c>
      <c r="P324" s="45">
        <v>377663.32988290838</v>
      </c>
      <c r="Q324" s="45">
        <f t="shared" si="84"/>
        <v>377663.32988290838</v>
      </c>
      <c r="R324" s="45" t="str">
        <f t="shared" si="85"/>
        <v>No</v>
      </c>
      <c r="S324" s="46" t="str">
        <f t="shared" si="85"/>
        <v>Yes</v>
      </c>
      <c r="T324" s="47">
        <f>ROUND(INDEX(Summary!H:H,MATCH(H:H,Summary!A:A,0)),2)</f>
        <v>0</v>
      </c>
      <c r="U324" s="47">
        <f>ROUND(INDEX(Summary!I:I,MATCH(H:H,Summary!A:A,0)),2)</f>
        <v>0.3</v>
      </c>
      <c r="V324" s="81">
        <f t="shared" si="86"/>
        <v>0</v>
      </c>
      <c r="W324" s="81">
        <f t="shared" si="86"/>
        <v>156154.31056001064</v>
      </c>
      <c r="X324" s="45">
        <f t="shared" si="87"/>
        <v>156154.31056001064</v>
      </c>
      <c r="Y324" s="45" t="s">
        <v>2752</v>
      </c>
      <c r="Z324" s="45" t="str">
        <f t="shared" si="88"/>
        <v>No</v>
      </c>
      <c r="AA324" s="45" t="str">
        <f t="shared" si="88"/>
        <v>Yes</v>
      </c>
      <c r="AB324" s="45" t="str">
        <f t="shared" si="89"/>
        <v>Yes</v>
      </c>
      <c r="AC324" s="82">
        <f t="shared" si="90"/>
        <v>0</v>
      </c>
      <c r="AD324" s="82">
        <f t="shared" si="90"/>
        <v>0.3</v>
      </c>
      <c r="AE324" s="45">
        <f t="shared" si="91"/>
        <v>0</v>
      </c>
      <c r="AF324" s="45">
        <f t="shared" si="91"/>
        <v>156154.31056001064</v>
      </c>
      <c r="AG324" s="45">
        <f t="shared" si="92"/>
        <v>156154.31056001064</v>
      </c>
      <c r="AH324" s="47">
        <f>IFERROR(ROUNDDOWN(INDEX('90% of ACR'!K:K,MATCH(H:H,'90% of ACR'!A:A,0))*IF(I324&gt;0,IF(O324&gt;0,$R$4*MAX(O324-V324,0),0),0)/I324,2),0)</f>
        <v>0</v>
      </c>
      <c r="AI324" s="82">
        <f>IFERROR(ROUNDDOWN(INDEX('90% of ACR'!R:R,MATCH(H:H,'90% of ACR'!A:A,0))*IF(J324&gt;0,IF(P324&gt;0,$R$4*MAX(P324-W324,0),0),0)/J324,2),0)</f>
        <v>0.28999999999999998</v>
      </c>
      <c r="AJ324" s="45">
        <f t="shared" si="93"/>
        <v>0</v>
      </c>
      <c r="AK324" s="45">
        <f t="shared" si="93"/>
        <v>150949.16687467694</v>
      </c>
      <c r="AL324" s="47">
        <f t="shared" si="94"/>
        <v>0</v>
      </c>
      <c r="AM324" s="47">
        <f t="shared" si="94"/>
        <v>0.59</v>
      </c>
      <c r="AN324" s="83">
        <f>IFERROR(INDEX('Fee Calc'!P:P,MATCH(C324,'Fee Calc'!F:F,0)),0)</f>
        <v>307103.47743468761</v>
      </c>
      <c r="AO324" s="83">
        <f>IFERROR(INDEX('Fee Calc'!Q:Q,MATCH(C324,'Fee Calc'!F:F,0)),0)</f>
        <v>18868.931411671496</v>
      </c>
      <c r="AP324" s="83">
        <f t="shared" si="95"/>
        <v>325972.40884635912</v>
      </c>
      <c r="AQ324" s="70">
        <f t="shared" si="96"/>
        <v>139200.64969447843</v>
      </c>
      <c r="AR324" s="70">
        <f t="shared" si="97"/>
        <v>69600.324847239215</v>
      </c>
      <c r="AS324" s="70">
        <f t="shared" si="98"/>
        <v>69600.324847239215</v>
      </c>
    </row>
    <row r="325" spans="1:45">
      <c r="A325" s="104" t="s">
        <v>898</v>
      </c>
      <c r="B325" s="124" t="s">
        <v>898</v>
      </c>
      <c r="C325" s="31" t="s">
        <v>899</v>
      </c>
      <c r="D325" s="125" t="s">
        <v>899</v>
      </c>
      <c r="E325" s="119" t="s">
        <v>2909</v>
      </c>
      <c r="F325" s="100" t="s">
        <v>2279</v>
      </c>
      <c r="G325" s="100" t="s">
        <v>310</v>
      </c>
      <c r="H325" s="43" t="str">
        <f t="shared" ref="H325:H388" si="99">CONCATENATE(F325," ",G325)</f>
        <v>Urban MRSA Northeast</v>
      </c>
      <c r="I325" s="45">
        <f>INDEX('Fee Calc'!M:M,MATCH(C:C,'Fee Calc'!F:F,0))</f>
        <v>16958207.615094297</v>
      </c>
      <c r="J325" s="45">
        <f>INDEX('Fee Calc'!L:L,MATCH(C:C,'Fee Calc'!F:F,0))</f>
        <v>6910783.8959046295</v>
      </c>
      <c r="K325" s="45">
        <f t="shared" ref="K325:K388" si="100">I325+J325</f>
        <v>23868991.510998927</v>
      </c>
      <c r="L325" s="45">
        <v>7311065.75</v>
      </c>
      <c r="M325" s="45">
        <v>7585930.3200000003</v>
      </c>
      <c r="N325" s="45">
        <f t="shared" ref="N325:N388" si="101">+L325+M325</f>
        <v>14896996.07</v>
      </c>
      <c r="O325" s="45">
        <v>23604682.451280992</v>
      </c>
      <c r="P325" s="45">
        <v>10255778.737560494</v>
      </c>
      <c r="Q325" s="45">
        <f t="shared" ref="Q325:Q388" si="102">O325+P325</f>
        <v>33860461.188841484</v>
      </c>
      <c r="R325" s="45" t="str">
        <f t="shared" ref="R325:S388" si="103">IF(O325&gt;0,"Yes","No")</f>
        <v>Yes</v>
      </c>
      <c r="S325" s="46" t="str">
        <f t="shared" si="103"/>
        <v>Yes</v>
      </c>
      <c r="T325" s="47">
        <f>ROUND(INDEX(Summary!H:H,MATCH(H:H,Summary!A:A,0)),2)</f>
        <v>0.6</v>
      </c>
      <c r="U325" s="47">
        <f>ROUND(INDEX(Summary!I:I,MATCH(H:H,Summary!A:A,0)),2)</f>
        <v>0.99</v>
      </c>
      <c r="V325" s="81">
        <f t="shared" ref="V325:W388" si="104">+T325*I325</f>
        <v>10174924.569056578</v>
      </c>
      <c r="W325" s="81">
        <f t="shared" si="104"/>
        <v>6841676.0569455829</v>
      </c>
      <c r="X325" s="45">
        <f t="shared" ref="X325:X388" si="105">+V325+W325</f>
        <v>17016600.626002163</v>
      </c>
      <c r="Y325" s="45" t="s">
        <v>2752</v>
      </c>
      <c r="Z325" s="45" t="str">
        <f t="shared" ref="Z325:AA388" si="106">IF(AJ325&gt;0,"Yes","No")</f>
        <v>Yes</v>
      </c>
      <c r="AA325" s="45" t="str">
        <f t="shared" si="106"/>
        <v>Yes</v>
      </c>
      <c r="AB325" s="45" t="str">
        <f t="shared" ref="AB325:AB388" si="107">IF(AG325&gt;0,"Yes","No")</f>
        <v>Yes</v>
      </c>
      <c r="AC325" s="82">
        <f t="shared" ref="AC325:AD388" si="108">IFERROR(ROUND(IF(I325&gt;0,IF(O325&gt;0,$R$4*MAX(O325-V325,0),0),0)/I325,2),0)</f>
        <v>0.55000000000000004</v>
      </c>
      <c r="AD325" s="82">
        <f t="shared" si="108"/>
        <v>0.34</v>
      </c>
      <c r="AE325" s="45">
        <f t="shared" ref="AE325:AF388" si="109">AC325*I325</f>
        <v>9327014.1883018631</v>
      </c>
      <c r="AF325" s="45">
        <f t="shared" si="109"/>
        <v>2349666.5246075741</v>
      </c>
      <c r="AG325" s="45">
        <f t="shared" ref="AG325:AG388" si="110">AE325+AF325</f>
        <v>11676680.712909438</v>
      </c>
      <c r="AH325" s="47">
        <f>IFERROR(ROUNDDOWN(INDEX('90% of ACR'!K:K,MATCH(H:H,'90% of ACR'!A:A,0))*IF(I325&gt;0,IF(O325&gt;0,$R$4*MAX(O325-V325,0),0),0)/I325,2),0)</f>
        <v>0.55000000000000004</v>
      </c>
      <c r="AI325" s="82">
        <f>IFERROR(ROUNDDOWN(INDEX('90% of ACR'!R:R,MATCH(H:H,'90% of ACR'!A:A,0))*IF(J325&gt;0,IF(P325&gt;0,$R$4*MAX(P325-W325,0),0),0)/J325,2),0)</f>
        <v>0.34</v>
      </c>
      <c r="AJ325" s="45">
        <f t="shared" ref="AJ325:AK388" si="111">I325*AH325</f>
        <v>9327014.1883018631</v>
      </c>
      <c r="AK325" s="45">
        <f t="shared" si="111"/>
        <v>2349666.5246075741</v>
      </c>
      <c r="AL325" s="47">
        <f t="shared" ref="AL325:AM388" si="112">T325+AH325</f>
        <v>1.1499999999999999</v>
      </c>
      <c r="AM325" s="47">
        <f t="shared" si="112"/>
        <v>1.33</v>
      </c>
      <c r="AN325" s="83">
        <f>IFERROR(INDEX('Fee Calc'!P:P,MATCH(C325,'Fee Calc'!F:F,0)),0)</f>
        <v>28693281.338911597</v>
      </c>
      <c r="AO325" s="83">
        <f>IFERROR(INDEX('Fee Calc'!Q:Q,MATCH(C325,'Fee Calc'!F:F,0)),0)</f>
        <v>1767164.590093357</v>
      </c>
      <c r="AP325" s="83">
        <f t="shared" ref="AP325:AP388" si="113">AN325+AO325</f>
        <v>30460445.929004952</v>
      </c>
      <c r="AQ325" s="70">
        <f t="shared" ref="AQ325:AQ388" si="114">$AQ$3*AP325*1.08</f>
        <v>13007585.145954844</v>
      </c>
      <c r="AR325" s="70">
        <f t="shared" ref="AR325:AR388" si="115">AQ325*0.5</f>
        <v>6503792.5729774218</v>
      </c>
      <c r="AS325" s="70">
        <f t="shared" ref="AS325:AS388" si="116">AR325</f>
        <v>6503792.5729774218</v>
      </c>
    </row>
    <row r="326" spans="1:45">
      <c r="A326" s="104" t="s">
        <v>67</v>
      </c>
      <c r="B326" s="124" t="s">
        <v>67</v>
      </c>
      <c r="C326" s="31" t="s">
        <v>68</v>
      </c>
      <c r="D326" s="125" t="s">
        <v>68</v>
      </c>
      <c r="E326" s="119" t="s">
        <v>2910</v>
      </c>
      <c r="F326" s="100" t="s">
        <v>2279</v>
      </c>
      <c r="G326" s="100" t="s">
        <v>310</v>
      </c>
      <c r="H326" s="43" t="str">
        <f t="shared" si="99"/>
        <v>Urban MRSA Northeast</v>
      </c>
      <c r="I326" s="45">
        <f>INDEX('Fee Calc'!M:M,MATCH(C:C,'Fee Calc'!F:F,0))</f>
        <v>3996383.9454045831</v>
      </c>
      <c r="J326" s="45">
        <f>INDEX('Fee Calc'!L:L,MATCH(C:C,'Fee Calc'!F:F,0))</f>
        <v>2743964.1272013406</v>
      </c>
      <c r="K326" s="45">
        <f t="shared" si="100"/>
        <v>6740348.0726059237</v>
      </c>
      <c r="L326" s="45">
        <v>3703620.81</v>
      </c>
      <c r="M326" s="45">
        <v>3042689.85</v>
      </c>
      <c r="N326" s="45">
        <f t="shared" si="101"/>
        <v>6746310.6600000001</v>
      </c>
      <c r="O326" s="45">
        <v>10881528.217438761</v>
      </c>
      <c r="P326" s="45">
        <v>8158671.5086706076</v>
      </c>
      <c r="Q326" s="45">
        <f t="shared" si="102"/>
        <v>19040199.726109371</v>
      </c>
      <c r="R326" s="45" t="str">
        <f t="shared" si="103"/>
        <v>Yes</v>
      </c>
      <c r="S326" s="46" t="str">
        <f t="shared" si="103"/>
        <v>Yes</v>
      </c>
      <c r="T326" s="47">
        <f>ROUND(INDEX(Summary!H:H,MATCH(H:H,Summary!A:A,0)),2)</f>
        <v>0.6</v>
      </c>
      <c r="U326" s="47">
        <f>ROUND(INDEX(Summary!I:I,MATCH(H:H,Summary!A:A,0)),2)</f>
        <v>0.99</v>
      </c>
      <c r="V326" s="81">
        <f t="shared" si="104"/>
        <v>2397830.3672427498</v>
      </c>
      <c r="W326" s="81">
        <f t="shared" si="104"/>
        <v>2716524.4859293271</v>
      </c>
      <c r="X326" s="45">
        <f t="shared" si="105"/>
        <v>5114354.8531720769</v>
      </c>
      <c r="Y326" s="45" t="s">
        <v>2752</v>
      </c>
      <c r="Z326" s="45" t="str">
        <f t="shared" si="106"/>
        <v>Yes</v>
      </c>
      <c r="AA326" s="45" t="str">
        <f t="shared" si="106"/>
        <v>Yes</v>
      </c>
      <c r="AB326" s="45" t="str">
        <f t="shared" si="107"/>
        <v>Yes</v>
      </c>
      <c r="AC326" s="82">
        <f t="shared" si="108"/>
        <v>1.48</v>
      </c>
      <c r="AD326" s="82">
        <f t="shared" si="108"/>
        <v>1.38</v>
      </c>
      <c r="AE326" s="45">
        <f t="shared" si="109"/>
        <v>5914648.2391987834</v>
      </c>
      <c r="AF326" s="45">
        <f t="shared" si="109"/>
        <v>3786670.4955378496</v>
      </c>
      <c r="AG326" s="45">
        <f t="shared" si="110"/>
        <v>9701318.7347366326</v>
      </c>
      <c r="AH326" s="47">
        <f>IFERROR(ROUNDDOWN(INDEX('90% of ACR'!K:K,MATCH(H:H,'90% of ACR'!A:A,0))*IF(I326&gt;0,IF(O326&gt;0,$R$4*MAX(O326-V326,0),0),0)/I326,2),0)</f>
        <v>1.47</v>
      </c>
      <c r="AI326" s="82">
        <f>IFERROR(ROUNDDOWN(INDEX('90% of ACR'!R:R,MATCH(H:H,'90% of ACR'!A:A,0))*IF(J326&gt;0,IF(P326&gt;0,$R$4*MAX(P326-W326,0),0),0)/J326,2),0)</f>
        <v>1.38</v>
      </c>
      <c r="AJ326" s="45">
        <f t="shared" si="111"/>
        <v>5874684.399744737</v>
      </c>
      <c r="AK326" s="45">
        <f t="shared" si="111"/>
        <v>3786670.4955378496</v>
      </c>
      <c r="AL326" s="47">
        <f t="shared" si="112"/>
        <v>2.0699999999999998</v>
      </c>
      <c r="AM326" s="47">
        <f t="shared" si="112"/>
        <v>2.37</v>
      </c>
      <c r="AN326" s="83">
        <f>IFERROR(INDEX('Fee Calc'!P:P,MATCH(C326,'Fee Calc'!F:F,0)),0)</f>
        <v>14775709.748454664</v>
      </c>
      <c r="AO326" s="83">
        <f>IFERROR(INDEX('Fee Calc'!Q:Q,MATCH(C326,'Fee Calc'!F:F,0)),0)</f>
        <v>912534.43025352433</v>
      </c>
      <c r="AP326" s="83">
        <f t="shared" si="113"/>
        <v>15688244.178708188</v>
      </c>
      <c r="AQ326" s="70">
        <f t="shared" si="114"/>
        <v>6699382.2881221147</v>
      </c>
      <c r="AR326" s="70">
        <f t="shared" si="115"/>
        <v>3349691.1440610574</v>
      </c>
      <c r="AS326" s="70">
        <f t="shared" si="116"/>
        <v>3349691.1440610574</v>
      </c>
    </row>
    <row r="327" spans="1:45">
      <c r="A327" s="104" t="s">
        <v>1381</v>
      </c>
      <c r="B327" s="124" t="s">
        <v>1381</v>
      </c>
      <c r="C327" s="31" t="s">
        <v>1382</v>
      </c>
      <c r="D327" s="125" t="s">
        <v>1382</v>
      </c>
      <c r="E327" s="119" t="s">
        <v>2911</v>
      </c>
      <c r="F327" s="100" t="s">
        <v>2279</v>
      </c>
      <c r="G327" s="100" t="s">
        <v>310</v>
      </c>
      <c r="H327" s="43" t="str">
        <f t="shared" si="99"/>
        <v>Urban MRSA Northeast</v>
      </c>
      <c r="I327" s="45">
        <f>INDEX('Fee Calc'!M:M,MATCH(C:C,'Fee Calc'!F:F,0))</f>
        <v>1799.8151220848008</v>
      </c>
      <c r="J327" s="45">
        <f>INDEX('Fee Calc'!L:L,MATCH(C:C,'Fee Calc'!F:F,0))</f>
        <v>99198.324178153023</v>
      </c>
      <c r="K327" s="45">
        <f t="shared" si="100"/>
        <v>100998.13930023782</v>
      </c>
      <c r="L327" s="45">
        <v>9422.8700000000008</v>
      </c>
      <c r="M327" s="45">
        <v>0</v>
      </c>
      <c r="N327" s="45">
        <f t="shared" si="101"/>
        <v>9422.8700000000008</v>
      </c>
      <c r="O327" s="45">
        <v>10073.303430571794</v>
      </c>
      <c r="P327" s="45">
        <v>0</v>
      </c>
      <c r="Q327" s="45">
        <f t="shared" si="102"/>
        <v>10073.303430571794</v>
      </c>
      <c r="R327" s="45" t="str">
        <f t="shared" si="103"/>
        <v>Yes</v>
      </c>
      <c r="S327" s="46" t="str">
        <f t="shared" si="103"/>
        <v>No</v>
      </c>
      <c r="T327" s="47">
        <f>ROUND(INDEX(Summary!H:H,MATCH(H:H,Summary!A:A,0)),2)</f>
        <v>0.6</v>
      </c>
      <c r="U327" s="47">
        <f>ROUND(INDEX(Summary!I:I,MATCH(H:H,Summary!A:A,0)),2)</f>
        <v>0.99</v>
      </c>
      <c r="V327" s="81">
        <f t="shared" si="104"/>
        <v>1079.8890732508805</v>
      </c>
      <c r="W327" s="81">
        <f t="shared" si="104"/>
        <v>98206.340936371489</v>
      </c>
      <c r="X327" s="45">
        <f t="shared" si="105"/>
        <v>99286.230009622363</v>
      </c>
      <c r="Y327" s="45" t="s">
        <v>2752</v>
      </c>
      <c r="Z327" s="45" t="str">
        <f t="shared" si="106"/>
        <v>Yes</v>
      </c>
      <c r="AA327" s="45" t="str">
        <f t="shared" si="106"/>
        <v>No</v>
      </c>
      <c r="AB327" s="45" t="str">
        <f t="shared" si="107"/>
        <v>Yes</v>
      </c>
      <c r="AC327" s="82">
        <f t="shared" si="108"/>
        <v>3.48</v>
      </c>
      <c r="AD327" s="82">
        <f t="shared" si="108"/>
        <v>0</v>
      </c>
      <c r="AE327" s="45">
        <f t="shared" si="109"/>
        <v>6263.3566248551069</v>
      </c>
      <c r="AF327" s="45">
        <f t="shared" si="109"/>
        <v>0</v>
      </c>
      <c r="AG327" s="45">
        <f t="shared" si="110"/>
        <v>6263.3566248551069</v>
      </c>
      <c r="AH327" s="47">
        <f>IFERROR(ROUNDDOWN(INDEX('90% of ACR'!K:K,MATCH(H:H,'90% of ACR'!A:A,0))*IF(I327&gt;0,IF(O327&gt;0,$R$4*MAX(O327-V327,0),0),0)/I327,2),0)</f>
        <v>3.48</v>
      </c>
      <c r="AI327" s="82">
        <f>IFERROR(ROUNDDOWN(INDEX('90% of ACR'!R:R,MATCH(H:H,'90% of ACR'!A:A,0))*IF(J327&gt;0,IF(P327&gt;0,$R$4*MAX(P327-W327,0),0),0)/J327,2),0)</f>
        <v>0</v>
      </c>
      <c r="AJ327" s="45">
        <f t="shared" si="111"/>
        <v>6263.3566248551069</v>
      </c>
      <c r="AK327" s="45">
        <f t="shared" si="111"/>
        <v>0</v>
      </c>
      <c r="AL327" s="47">
        <f t="shared" si="112"/>
        <v>4.08</v>
      </c>
      <c r="AM327" s="47">
        <f t="shared" si="112"/>
        <v>0.99</v>
      </c>
      <c r="AN327" s="83">
        <f>IFERROR(INDEX('Fee Calc'!P:P,MATCH(C327,'Fee Calc'!F:F,0)),0)</f>
        <v>105549.58663447748</v>
      </c>
      <c r="AO327" s="83">
        <f>IFERROR(INDEX('Fee Calc'!Q:Q,MATCH(C327,'Fee Calc'!F:F,0)),0)</f>
        <v>6614.2243708537999</v>
      </c>
      <c r="AP327" s="83">
        <f t="shared" si="113"/>
        <v>112163.81100533128</v>
      </c>
      <c r="AQ327" s="70">
        <f t="shared" si="114"/>
        <v>47897.536541228634</v>
      </c>
      <c r="AR327" s="70">
        <f t="shared" si="115"/>
        <v>23948.768270614317</v>
      </c>
      <c r="AS327" s="70">
        <f t="shared" si="116"/>
        <v>23948.768270614317</v>
      </c>
    </row>
    <row r="328" spans="1:45">
      <c r="A328" s="104" t="s">
        <v>64</v>
      </c>
      <c r="B328" s="124" t="s">
        <v>64</v>
      </c>
      <c r="C328" s="31" t="s">
        <v>65</v>
      </c>
      <c r="D328" s="125" t="s">
        <v>65</v>
      </c>
      <c r="E328" s="119" t="s">
        <v>2912</v>
      </c>
      <c r="F328" s="100" t="s">
        <v>2279</v>
      </c>
      <c r="G328" s="100" t="s">
        <v>310</v>
      </c>
      <c r="H328" s="43" t="str">
        <f t="shared" si="99"/>
        <v>Urban MRSA Northeast</v>
      </c>
      <c r="I328" s="45">
        <f>INDEX('Fee Calc'!M:M,MATCH(C:C,'Fee Calc'!F:F,0))</f>
        <v>9192140.8095864691</v>
      </c>
      <c r="J328" s="45">
        <f>INDEX('Fee Calc'!L:L,MATCH(C:C,'Fee Calc'!F:F,0))</f>
        <v>8867078.4856551569</v>
      </c>
      <c r="K328" s="45">
        <f t="shared" si="100"/>
        <v>18059219.295241624</v>
      </c>
      <c r="L328" s="45">
        <v>12013146.08</v>
      </c>
      <c r="M328" s="45">
        <v>10909881.189999999</v>
      </c>
      <c r="N328" s="45">
        <f t="shared" si="101"/>
        <v>22923027.27</v>
      </c>
      <c r="O328" s="45">
        <v>19876461.421834223</v>
      </c>
      <c r="P328" s="45">
        <v>29916005.116911985</v>
      </c>
      <c r="Q328" s="45">
        <f t="shared" si="102"/>
        <v>49792466.538746208</v>
      </c>
      <c r="R328" s="45" t="str">
        <f t="shared" si="103"/>
        <v>Yes</v>
      </c>
      <c r="S328" s="46" t="str">
        <f t="shared" si="103"/>
        <v>Yes</v>
      </c>
      <c r="T328" s="47">
        <f>ROUND(INDEX(Summary!H:H,MATCH(H:H,Summary!A:A,0)),2)</f>
        <v>0.6</v>
      </c>
      <c r="U328" s="47">
        <f>ROUND(INDEX(Summary!I:I,MATCH(H:H,Summary!A:A,0)),2)</f>
        <v>0.99</v>
      </c>
      <c r="V328" s="81">
        <f t="shared" si="104"/>
        <v>5515284.4857518813</v>
      </c>
      <c r="W328" s="81">
        <f t="shared" si="104"/>
        <v>8778407.7007986046</v>
      </c>
      <c r="X328" s="45">
        <f t="shared" si="105"/>
        <v>14293692.186550487</v>
      </c>
      <c r="Y328" s="45" t="s">
        <v>2752</v>
      </c>
      <c r="Z328" s="45" t="str">
        <f t="shared" si="106"/>
        <v>Yes</v>
      </c>
      <c r="AA328" s="45" t="str">
        <f t="shared" si="106"/>
        <v>Yes</v>
      </c>
      <c r="AB328" s="45" t="str">
        <f t="shared" si="107"/>
        <v>Yes</v>
      </c>
      <c r="AC328" s="82">
        <f t="shared" si="108"/>
        <v>1.0900000000000001</v>
      </c>
      <c r="AD328" s="82">
        <f t="shared" si="108"/>
        <v>1.66</v>
      </c>
      <c r="AE328" s="45">
        <f t="shared" si="109"/>
        <v>10019433.482449252</v>
      </c>
      <c r="AF328" s="45">
        <f t="shared" si="109"/>
        <v>14719350.286187559</v>
      </c>
      <c r="AG328" s="45">
        <f t="shared" si="110"/>
        <v>24738783.768636812</v>
      </c>
      <c r="AH328" s="47">
        <f>IFERROR(ROUNDDOWN(INDEX('90% of ACR'!K:K,MATCH(H:H,'90% of ACR'!A:A,0))*IF(I328&gt;0,IF(O328&gt;0,$R$4*MAX(O328-V328,0),0),0)/I328,2),0)</f>
        <v>1.08</v>
      </c>
      <c r="AI328" s="82">
        <f>IFERROR(ROUNDDOWN(INDEX('90% of ACR'!R:R,MATCH(H:H,'90% of ACR'!A:A,0))*IF(J328&gt;0,IF(P328&gt;0,$R$4*MAX(P328-W328,0),0),0)/J328,2),0)</f>
        <v>1.66</v>
      </c>
      <c r="AJ328" s="45">
        <f t="shared" si="111"/>
        <v>9927512.0743533876</v>
      </c>
      <c r="AK328" s="45">
        <f t="shared" si="111"/>
        <v>14719350.286187559</v>
      </c>
      <c r="AL328" s="47">
        <f t="shared" si="112"/>
        <v>1.6800000000000002</v>
      </c>
      <c r="AM328" s="47">
        <f t="shared" si="112"/>
        <v>2.65</v>
      </c>
      <c r="AN328" s="83">
        <f>IFERROR(INDEX('Fee Calc'!P:P,MATCH(C328,'Fee Calc'!F:F,0)),0)</f>
        <v>38940554.547091432</v>
      </c>
      <c r="AO328" s="83">
        <f>IFERROR(INDEX('Fee Calc'!Q:Q,MATCH(C328,'Fee Calc'!F:F,0)),0)</f>
        <v>2411180.8099705675</v>
      </c>
      <c r="AP328" s="83">
        <f t="shared" si="113"/>
        <v>41351735.357061997</v>
      </c>
      <c r="AQ328" s="70">
        <f t="shared" si="114"/>
        <v>17658514.252996899</v>
      </c>
      <c r="AR328" s="70">
        <f t="shared" si="115"/>
        <v>8829257.1264984496</v>
      </c>
      <c r="AS328" s="70">
        <f t="shared" si="116"/>
        <v>8829257.1264984496</v>
      </c>
    </row>
    <row r="329" spans="1:45">
      <c r="A329" s="104" t="s">
        <v>599</v>
      </c>
      <c r="B329" s="124" t="s">
        <v>599</v>
      </c>
      <c r="C329" s="31" t="s">
        <v>600</v>
      </c>
      <c r="D329" s="125" t="s">
        <v>600</v>
      </c>
      <c r="E329" s="119" t="s">
        <v>2913</v>
      </c>
      <c r="F329" s="100" t="s">
        <v>2291</v>
      </c>
      <c r="G329" s="100" t="s">
        <v>1550</v>
      </c>
      <c r="H329" s="43" t="str">
        <f t="shared" si="99"/>
        <v>Rural Jefferson</v>
      </c>
      <c r="I329" s="45">
        <f>INDEX('Fee Calc'!M:M,MATCH(C:C,'Fee Calc'!F:F,0))</f>
        <v>701054.71931408753</v>
      </c>
      <c r="J329" s="45">
        <f>INDEX('Fee Calc'!L:L,MATCH(C:C,'Fee Calc'!F:F,0))</f>
        <v>2378602.1529215877</v>
      </c>
      <c r="K329" s="45">
        <f t="shared" si="100"/>
        <v>3079656.8722356753</v>
      </c>
      <c r="L329" s="45">
        <v>105971.42</v>
      </c>
      <c r="M329" s="45">
        <v>258582.63</v>
      </c>
      <c r="N329" s="45">
        <f t="shared" si="101"/>
        <v>364554.05</v>
      </c>
      <c r="O329" s="45">
        <v>60580.324117814191</v>
      </c>
      <c r="P329" s="45">
        <v>1333558.8244138551</v>
      </c>
      <c r="Q329" s="45">
        <f t="shared" si="102"/>
        <v>1394139.1485316693</v>
      </c>
      <c r="R329" s="45" t="str">
        <f t="shared" si="103"/>
        <v>Yes</v>
      </c>
      <c r="S329" s="46" t="str">
        <f t="shared" si="103"/>
        <v>Yes</v>
      </c>
      <c r="T329" s="47">
        <f>ROUND(INDEX(Summary!H:H,MATCH(H:H,Summary!A:A,0)),2)</f>
        <v>0</v>
      </c>
      <c r="U329" s="47">
        <f>ROUND(INDEX(Summary!I:I,MATCH(H:H,Summary!A:A,0)),2)</f>
        <v>0.22</v>
      </c>
      <c r="V329" s="81">
        <f t="shared" si="104"/>
        <v>0</v>
      </c>
      <c r="W329" s="81">
        <f t="shared" si="104"/>
        <v>523292.4736427493</v>
      </c>
      <c r="X329" s="45">
        <f t="shared" si="105"/>
        <v>523292.4736427493</v>
      </c>
      <c r="Y329" s="45" t="s">
        <v>2752</v>
      </c>
      <c r="Z329" s="45" t="str">
        <f t="shared" si="106"/>
        <v>No</v>
      </c>
      <c r="AA329" s="45" t="str">
        <f t="shared" si="106"/>
        <v>Yes</v>
      </c>
      <c r="AB329" s="45" t="str">
        <f t="shared" si="107"/>
        <v>Yes</v>
      </c>
      <c r="AC329" s="82">
        <f t="shared" si="108"/>
        <v>0.06</v>
      </c>
      <c r="AD329" s="82">
        <f t="shared" si="108"/>
        <v>0.24</v>
      </c>
      <c r="AE329" s="45">
        <f t="shared" si="109"/>
        <v>42063.283158845254</v>
      </c>
      <c r="AF329" s="45">
        <f t="shared" si="109"/>
        <v>570864.51670118107</v>
      </c>
      <c r="AG329" s="45">
        <f t="shared" si="110"/>
        <v>612927.79986002634</v>
      </c>
      <c r="AH329" s="47">
        <f>IFERROR(ROUNDDOWN(INDEX('90% of ACR'!K:K,MATCH(H:H,'90% of ACR'!A:A,0))*IF(I329&gt;0,IF(O329&gt;0,$R$4*MAX(O329-V329,0),0),0)/I329,2),0)</f>
        <v>0</v>
      </c>
      <c r="AI329" s="82">
        <f>IFERROR(ROUNDDOWN(INDEX('90% of ACR'!R:R,MATCH(H:H,'90% of ACR'!A:A,0))*IF(J329&gt;0,IF(P329&gt;0,$R$4*MAX(P329-W329,0),0),0)/J329,2),0)</f>
        <v>0.23</v>
      </c>
      <c r="AJ329" s="45">
        <f t="shared" si="111"/>
        <v>0</v>
      </c>
      <c r="AK329" s="45">
        <f t="shared" si="111"/>
        <v>547078.49517196522</v>
      </c>
      <c r="AL329" s="47">
        <f t="shared" si="112"/>
        <v>0</v>
      </c>
      <c r="AM329" s="47">
        <f t="shared" si="112"/>
        <v>0.45</v>
      </c>
      <c r="AN329" s="83">
        <f>IFERROR(INDEX('Fee Calc'!P:P,MATCH(C329,'Fee Calc'!F:F,0)),0)</f>
        <v>1070370.9688147146</v>
      </c>
      <c r="AO329" s="83">
        <f>IFERROR(INDEX('Fee Calc'!Q:Q,MATCH(C329,'Fee Calc'!F:F,0)),0)</f>
        <v>66190.999462665539</v>
      </c>
      <c r="AP329" s="83">
        <f t="shared" si="113"/>
        <v>1136561.9682773801</v>
      </c>
      <c r="AQ329" s="70">
        <f t="shared" si="114"/>
        <v>485348.33043742616</v>
      </c>
      <c r="AR329" s="70">
        <f t="shared" si="115"/>
        <v>242674.16521871308</v>
      </c>
      <c r="AS329" s="70">
        <f t="shared" si="116"/>
        <v>242674.16521871308</v>
      </c>
    </row>
    <row r="330" spans="1:45">
      <c r="A330" s="104" t="s">
        <v>593</v>
      </c>
      <c r="B330" s="124" t="s">
        <v>593</v>
      </c>
      <c r="C330" s="31" t="s">
        <v>594</v>
      </c>
      <c r="D330" s="125" t="s">
        <v>594</v>
      </c>
      <c r="E330" s="119" t="s">
        <v>2914</v>
      </c>
      <c r="F330" s="100" t="s">
        <v>2279</v>
      </c>
      <c r="G330" s="100" t="s">
        <v>1550</v>
      </c>
      <c r="H330" s="43" t="str">
        <f t="shared" si="99"/>
        <v>Urban Jefferson</v>
      </c>
      <c r="I330" s="45">
        <f>INDEX('Fee Calc'!M:M,MATCH(C:C,'Fee Calc'!F:F,0))</f>
        <v>12259392.233775117</v>
      </c>
      <c r="J330" s="45">
        <f>INDEX('Fee Calc'!L:L,MATCH(C:C,'Fee Calc'!F:F,0))</f>
        <v>7851385.2079608124</v>
      </c>
      <c r="K330" s="45">
        <f t="shared" si="100"/>
        <v>20110777.441735931</v>
      </c>
      <c r="L330" s="45">
        <v>8862972.9399999995</v>
      </c>
      <c r="M330" s="45">
        <v>5143193.6500000004</v>
      </c>
      <c r="N330" s="45">
        <f t="shared" si="101"/>
        <v>14006166.59</v>
      </c>
      <c r="O330" s="45">
        <v>21082251.380105998</v>
      </c>
      <c r="P330" s="45">
        <v>9741095.7207007073</v>
      </c>
      <c r="Q330" s="45">
        <f t="shared" si="102"/>
        <v>30823347.100806706</v>
      </c>
      <c r="R330" s="45" t="str">
        <f t="shared" si="103"/>
        <v>Yes</v>
      </c>
      <c r="S330" s="46" t="str">
        <f t="shared" si="103"/>
        <v>Yes</v>
      </c>
      <c r="T330" s="47">
        <f>ROUND(INDEX(Summary!H:H,MATCH(H:H,Summary!A:A,0)),2)</f>
        <v>0.72</v>
      </c>
      <c r="U330" s="47">
        <f>ROUND(INDEX(Summary!I:I,MATCH(H:H,Summary!A:A,0)),2)</f>
        <v>0.85</v>
      </c>
      <c r="V330" s="81">
        <f t="shared" si="104"/>
        <v>8826762.4083180837</v>
      </c>
      <c r="W330" s="81">
        <f t="shared" si="104"/>
        <v>6673677.4267666908</v>
      </c>
      <c r="X330" s="45">
        <f t="shared" si="105"/>
        <v>15500439.835084774</v>
      </c>
      <c r="Y330" s="45" t="s">
        <v>2752</v>
      </c>
      <c r="Z330" s="45" t="str">
        <f t="shared" si="106"/>
        <v>Yes</v>
      </c>
      <c r="AA330" s="45" t="str">
        <f t="shared" si="106"/>
        <v>Yes</v>
      </c>
      <c r="AB330" s="45" t="str">
        <f t="shared" si="107"/>
        <v>Yes</v>
      </c>
      <c r="AC330" s="82">
        <f t="shared" si="108"/>
        <v>0.7</v>
      </c>
      <c r="AD330" s="82">
        <f t="shared" si="108"/>
        <v>0.27</v>
      </c>
      <c r="AE330" s="45">
        <f t="shared" si="109"/>
        <v>8581574.5636425819</v>
      </c>
      <c r="AF330" s="45">
        <f t="shared" si="109"/>
        <v>2119874.0061494196</v>
      </c>
      <c r="AG330" s="45">
        <f t="shared" si="110"/>
        <v>10701448.569792002</v>
      </c>
      <c r="AH330" s="47">
        <f>IFERROR(ROUNDDOWN(INDEX('90% of ACR'!K:K,MATCH(H:H,'90% of ACR'!A:A,0))*IF(I330&gt;0,IF(O330&gt;0,$R$4*MAX(O330-V330,0),0),0)/I330,2),0)</f>
        <v>0.69</v>
      </c>
      <c r="AI330" s="82">
        <f>IFERROR(ROUNDDOWN(INDEX('90% of ACR'!R:R,MATCH(H:H,'90% of ACR'!A:A,0))*IF(J330&gt;0,IF(P330&gt;0,$R$4*MAX(P330-W330,0),0),0)/J330,2),0)</f>
        <v>0.23</v>
      </c>
      <c r="AJ330" s="45">
        <f t="shared" si="111"/>
        <v>8458980.6413048301</v>
      </c>
      <c r="AK330" s="45">
        <f t="shared" si="111"/>
        <v>1805818.5978309868</v>
      </c>
      <c r="AL330" s="47">
        <f t="shared" si="112"/>
        <v>1.41</v>
      </c>
      <c r="AM330" s="47">
        <f t="shared" si="112"/>
        <v>1.08</v>
      </c>
      <c r="AN330" s="83">
        <f>IFERROR(INDEX('Fee Calc'!P:P,MATCH(C330,'Fee Calc'!F:F,0)),0)</f>
        <v>25765239.07422059</v>
      </c>
      <c r="AO330" s="83">
        <f>IFERROR(INDEX('Fee Calc'!Q:Q,MATCH(C330,'Fee Calc'!F:F,0)),0)</f>
        <v>1595749.9320760891</v>
      </c>
      <c r="AP330" s="83">
        <f t="shared" si="113"/>
        <v>27360989.006296679</v>
      </c>
      <c r="AQ330" s="70">
        <f t="shared" si="114"/>
        <v>11684017.857336884</v>
      </c>
      <c r="AR330" s="70">
        <f t="shared" si="115"/>
        <v>5842008.9286684422</v>
      </c>
      <c r="AS330" s="70">
        <f t="shared" si="116"/>
        <v>5842008.9286684422</v>
      </c>
    </row>
    <row r="331" spans="1:45">
      <c r="A331" s="104" t="s">
        <v>1225</v>
      </c>
      <c r="B331" s="124" t="s">
        <v>1225</v>
      </c>
      <c r="C331" s="31" t="s">
        <v>1226</v>
      </c>
      <c r="D331" s="125" t="s">
        <v>1226</v>
      </c>
      <c r="E331" s="119" t="s">
        <v>2915</v>
      </c>
      <c r="F331" s="100" t="s">
        <v>2279</v>
      </c>
      <c r="G331" s="100" t="s">
        <v>487</v>
      </c>
      <c r="H331" s="43" t="str">
        <f t="shared" si="99"/>
        <v>Urban Bexar</v>
      </c>
      <c r="I331" s="45">
        <f>INDEX('Fee Calc'!M:M,MATCH(C:C,'Fee Calc'!F:F,0))</f>
        <v>11970055.577600257</v>
      </c>
      <c r="J331" s="45">
        <f>INDEX('Fee Calc'!L:L,MATCH(C:C,'Fee Calc'!F:F,0))</f>
        <v>3504890.8513739198</v>
      </c>
      <c r="K331" s="45">
        <f t="shared" si="100"/>
        <v>15474946.428974178</v>
      </c>
      <c r="L331" s="45">
        <v>9736326.4100000001</v>
      </c>
      <c r="M331" s="45">
        <v>2938568.4</v>
      </c>
      <c r="N331" s="45">
        <f t="shared" si="101"/>
        <v>12674894.810000001</v>
      </c>
      <c r="O331" s="45">
        <v>15361764.687989559</v>
      </c>
      <c r="P331" s="45">
        <v>4685564.6912559438</v>
      </c>
      <c r="Q331" s="45">
        <f t="shared" si="102"/>
        <v>20047329.379245505</v>
      </c>
      <c r="R331" s="45" t="str">
        <f t="shared" si="103"/>
        <v>Yes</v>
      </c>
      <c r="S331" s="46" t="str">
        <f t="shared" si="103"/>
        <v>Yes</v>
      </c>
      <c r="T331" s="47">
        <f>ROUND(INDEX(Summary!H:H,MATCH(H:H,Summary!A:A,0)),2)</f>
        <v>0.4</v>
      </c>
      <c r="U331" s="47">
        <f>ROUND(INDEX(Summary!I:I,MATCH(H:H,Summary!A:A,0)),2)</f>
        <v>0.45</v>
      </c>
      <c r="V331" s="81">
        <f t="shared" si="104"/>
        <v>4788022.2310401034</v>
      </c>
      <c r="W331" s="81">
        <f t="shared" si="104"/>
        <v>1577200.8831182639</v>
      </c>
      <c r="X331" s="45">
        <f t="shared" si="105"/>
        <v>6365223.1141583677</v>
      </c>
      <c r="Y331" s="45" t="s">
        <v>2752</v>
      </c>
      <c r="Z331" s="45" t="str">
        <f t="shared" si="106"/>
        <v>Yes</v>
      </c>
      <c r="AA331" s="45" t="str">
        <f t="shared" si="106"/>
        <v>Yes</v>
      </c>
      <c r="AB331" s="45" t="str">
        <f t="shared" si="107"/>
        <v>Yes</v>
      </c>
      <c r="AC331" s="82">
        <f t="shared" si="108"/>
        <v>0.62</v>
      </c>
      <c r="AD331" s="82">
        <f t="shared" si="108"/>
        <v>0.62</v>
      </c>
      <c r="AE331" s="45">
        <f t="shared" si="109"/>
        <v>7421434.4581121597</v>
      </c>
      <c r="AF331" s="45">
        <f t="shared" si="109"/>
        <v>2173032.3278518301</v>
      </c>
      <c r="AG331" s="45">
        <f t="shared" si="110"/>
        <v>9594466.7859639898</v>
      </c>
      <c r="AH331" s="47">
        <f>IFERROR(ROUNDDOWN(INDEX('90% of ACR'!K:K,MATCH(H:H,'90% of ACR'!A:A,0))*IF(I331&gt;0,IF(O331&gt;0,$R$4*MAX(O331-V331,0),0),0)/I331,2),0)</f>
        <v>0.54</v>
      </c>
      <c r="AI331" s="82">
        <f>IFERROR(ROUNDDOWN(INDEX('90% of ACR'!R:R,MATCH(H:H,'90% of ACR'!A:A,0))*IF(J331&gt;0,IF(P331&gt;0,$R$4*MAX(P331-W331,0),0),0)/J331,2),0)</f>
        <v>0.35</v>
      </c>
      <c r="AJ331" s="45">
        <f t="shared" si="111"/>
        <v>6463830.0119041391</v>
      </c>
      <c r="AK331" s="45">
        <f t="shared" si="111"/>
        <v>1226711.7979808718</v>
      </c>
      <c r="AL331" s="47">
        <f t="shared" si="112"/>
        <v>0.94000000000000006</v>
      </c>
      <c r="AM331" s="47">
        <f t="shared" si="112"/>
        <v>0.8</v>
      </c>
      <c r="AN331" s="83">
        <f>IFERROR(INDEX('Fee Calc'!P:P,MATCH(C331,'Fee Calc'!F:F,0)),0)</f>
        <v>14055764.924043378</v>
      </c>
      <c r="AO331" s="83">
        <f>IFERROR(INDEX('Fee Calc'!Q:Q,MATCH(C331,'Fee Calc'!F:F,0)),0)</f>
        <v>870320.20697926392</v>
      </c>
      <c r="AP331" s="83">
        <f t="shared" si="113"/>
        <v>14926085.131022641</v>
      </c>
      <c r="AQ331" s="70">
        <f t="shared" si="114"/>
        <v>6373915.9856708599</v>
      </c>
      <c r="AR331" s="70">
        <f t="shared" si="115"/>
        <v>3186957.99283543</v>
      </c>
      <c r="AS331" s="70">
        <f t="shared" si="116"/>
        <v>3186957.99283543</v>
      </c>
    </row>
    <row r="332" spans="1:45">
      <c r="A332" s="104" t="s">
        <v>2527</v>
      </c>
      <c r="B332" s="124" t="s">
        <v>2527</v>
      </c>
      <c r="C332" s="31" t="s">
        <v>2664</v>
      </c>
      <c r="D332" s="125" t="s">
        <v>2664</v>
      </c>
      <c r="E332" s="119" t="s">
        <v>2916</v>
      </c>
      <c r="F332" s="100" t="s">
        <v>2279</v>
      </c>
      <c r="G332" s="100" t="s">
        <v>1202</v>
      </c>
      <c r="H332" s="43" t="str">
        <f t="shared" si="99"/>
        <v>Urban Travis</v>
      </c>
      <c r="I332" s="45">
        <f>INDEX('Fee Calc'!M:M,MATCH(C:C,'Fee Calc'!F:F,0))</f>
        <v>182649.44647410591</v>
      </c>
      <c r="J332" s="45">
        <f>INDEX('Fee Calc'!L:L,MATCH(C:C,'Fee Calc'!F:F,0))</f>
        <v>573460.07629745966</v>
      </c>
      <c r="K332" s="45">
        <f t="shared" si="100"/>
        <v>756109.52277156559</v>
      </c>
      <c r="L332" s="45">
        <v>1388212.18</v>
      </c>
      <c r="M332" s="45">
        <v>924447.75</v>
      </c>
      <c r="N332" s="45">
        <f t="shared" si="101"/>
        <v>2312659.9299999997</v>
      </c>
      <c r="O332" s="45">
        <v>2706808.6804947653</v>
      </c>
      <c r="P332" s="45">
        <v>1533968.7900550482</v>
      </c>
      <c r="Q332" s="45">
        <f t="shared" si="102"/>
        <v>4240777.4705498135</v>
      </c>
      <c r="R332" s="45" t="str">
        <f t="shared" si="103"/>
        <v>Yes</v>
      </c>
      <c r="S332" s="46" t="str">
        <f t="shared" si="103"/>
        <v>Yes</v>
      </c>
      <c r="T332" s="47">
        <f>ROUND(INDEX(Summary!H:H,MATCH(H:H,Summary!A:A,0)),2)</f>
        <v>0.35</v>
      </c>
      <c r="U332" s="47">
        <f>ROUND(INDEX(Summary!I:I,MATCH(H:H,Summary!A:A,0)),2)</f>
        <v>0.92</v>
      </c>
      <c r="V332" s="81">
        <f t="shared" si="104"/>
        <v>63927.306265937063</v>
      </c>
      <c r="W332" s="81">
        <f t="shared" si="104"/>
        <v>527583.27019366296</v>
      </c>
      <c r="X332" s="45">
        <f t="shared" si="105"/>
        <v>591510.57645960001</v>
      </c>
      <c r="Y332" s="45" t="s">
        <v>2752</v>
      </c>
      <c r="Z332" s="45" t="str">
        <f t="shared" si="106"/>
        <v>Yes</v>
      </c>
      <c r="AA332" s="45" t="str">
        <f t="shared" si="106"/>
        <v>Yes</v>
      </c>
      <c r="AB332" s="45" t="str">
        <f t="shared" si="107"/>
        <v>Yes</v>
      </c>
      <c r="AC332" s="82">
        <f t="shared" si="108"/>
        <v>10.08</v>
      </c>
      <c r="AD332" s="82">
        <f t="shared" si="108"/>
        <v>1.22</v>
      </c>
      <c r="AE332" s="45">
        <f t="shared" si="109"/>
        <v>1841106.4204589876</v>
      </c>
      <c r="AF332" s="45">
        <f t="shared" si="109"/>
        <v>699621.29308290081</v>
      </c>
      <c r="AG332" s="45">
        <f t="shared" si="110"/>
        <v>2540727.7135418886</v>
      </c>
      <c r="AH332" s="47">
        <f>IFERROR(ROUNDDOWN(INDEX('90% of ACR'!K:K,MATCH(H:H,'90% of ACR'!A:A,0))*IF(I332&gt;0,IF(O332&gt;0,$R$4*MAX(O332-V332,0),0),0)/I332,2),0)</f>
        <v>10.08</v>
      </c>
      <c r="AI332" s="82">
        <f>IFERROR(ROUNDDOWN(INDEX('90% of ACR'!R:R,MATCH(H:H,'90% of ACR'!A:A,0))*IF(J332&gt;0,IF(P332&gt;0,$R$4*MAX(P332-W332,0),0),0)/J332,2),0)</f>
        <v>0.52</v>
      </c>
      <c r="AJ332" s="45">
        <f t="shared" si="111"/>
        <v>1841106.4204589876</v>
      </c>
      <c r="AK332" s="45">
        <f t="shared" si="111"/>
        <v>298199.239674679</v>
      </c>
      <c r="AL332" s="47">
        <f t="shared" si="112"/>
        <v>10.43</v>
      </c>
      <c r="AM332" s="47">
        <f t="shared" si="112"/>
        <v>1.44</v>
      </c>
      <c r="AN332" s="83">
        <f>IFERROR(INDEX('Fee Calc'!P:P,MATCH(C332,'Fee Calc'!F:F,0)),0)</f>
        <v>2730816.2365932665</v>
      </c>
      <c r="AO332" s="83">
        <f>IFERROR(INDEX('Fee Calc'!Q:Q,MATCH(C332,'Fee Calc'!F:F,0)),0)</f>
        <v>174283.14338260144</v>
      </c>
      <c r="AP332" s="83">
        <f t="shared" si="113"/>
        <v>2905099.3799758679</v>
      </c>
      <c r="AQ332" s="70">
        <f t="shared" si="114"/>
        <v>1240570.3984298548</v>
      </c>
      <c r="AR332" s="70">
        <f t="shared" si="115"/>
        <v>620285.19921492739</v>
      </c>
      <c r="AS332" s="70">
        <f t="shared" si="116"/>
        <v>620285.19921492739</v>
      </c>
    </row>
    <row r="333" spans="1:45">
      <c r="A333" s="104" t="s">
        <v>1614</v>
      </c>
      <c r="B333" s="124" t="s">
        <v>1614</v>
      </c>
      <c r="C333" s="31" t="s">
        <v>1615</v>
      </c>
      <c r="D333" s="125" t="s">
        <v>1615</v>
      </c>
      <c r="E333" s="119" t="s">
        <v>2117</v>
      </c>
      <c r="F333" s="100" t="s">
        <v>2279</v>
      </c>
      <c r="G333" s="100" t="s">
        <v>300</v>
      </c>
      <c r="H333" s="43" t="str">
        <f t="shared" si="99"/>
        <v>Urban Harris</v>
      </c>
      <c r="I333" s="45">
        <f>INDEX('Fee Calc'!M:M,MATCH(C:C,'Fee Calc'!F:F,0))</f>
        <v>22126709.760147095</v>
      </c>
      <c r="J333" s="45">
        <f>INDEX('Fee Calc'!L:L,MATCH(C:C,'Fee Calc'!F:F,0))</f>
        <v>5227279.5379007254</v>
      </c>
      <c r="K333" s="45">
        <f t="shared" si="100"/>
        <v>27353989.298047818</v>
      </c>
      <c r="L333" s="45">
        <v>25188239.969999999</v>
      </c>
      <c r="M333" s="45">
        <v>2733963.38</v>
      </c>
      <c r="N333" s="45">
        <f t="shared" si="101"/>
        <v>27922203.349999998</v>
      </c>
      <c r="O333" s="45">
        <v>28994440.092509769</v>
      </c>
      <c r="P333" s="45">
        <v>3489970.9012322668</v>
      </c>
      <c r="Q333" s="45">
        <f t="shared" si="102"/>
        <v>32484410.993742034</v>
      </c>
      <c r="R333" s="45" t="str">
        <f t="shared" si="103"/>
        <v>Yes</v>
      </c>
      <c r="S333" s="46" t="str">
        <f t="shared" si="103"/>
        <v>Yes</v>
      </c>
      <c r="T333" s="47">
        <f>ROUND(INDEX(Summary!H:H,MATCH(H:H,Summary!A:A,0)),2)</f>
        <v>1.57</v>
      </c>
      <c r="U333" s="47">
        <f>ROUND(INDEX(Summary!I:I,MATCH(H:H,Summary!A:A,0)),2)</f>
        <v>0.3</v>
      </c>
      <c r="V333" s="81">
        <f t="shared" si="104"/>
        <v>34738934.323430941</v>
      </c>
      <c r="W333" s="81">
        <f t="shared" si="104"/>
        <v>1568183.8613702175</v>
      </c>
      <c r="X333" s="45">
        <f t="shared" si="105"/>
        <v>36307118.184801161</v>
      </c>
      <c r="Y333" s="45" t="s">
        <v>2752</v>
      </c>
      <c r="Z333" s="45" t="str">
        <f t="shared" si="106"/>
        <v>No</v>
      </c>
      <c r="AA333" s="45" t="str">
        <f t="shared" si="106"/>
        <v>Yes</v>
      </c>
      <c r="AB333" s="45" t="str">
        <f t="shared" si="107"/>
        <v>Yes</v>
      </c>
      <c r="AC333" s="82">
        <f t="shared" si="108"/>
        <v>0</v>
      </c>
      <c r="AD333" s="82">
        <f t="shared" si="108"/>
        <v>0.26</v>
      </c>
      <c r="AE333" s="45">
        <f t="shared" si="109"/>
        <v>0</v>
      </c>
      <c r="AF333" s="45">
        <f t="shared" si="109"/>
        <v>1359092.6798541886</v>
      </c>
      <c r="AG333" s="45">
        <f t="shared" si="110"/>
        <v>1359092.6798541886</v>
      </c>
      <c r="AH333" s="47">
        <f>IFERROR(ROUNDDOWN(INDEX('90% of ACR'!K:K,MATCH(H:H,'90% of ACR'!A:A,0))*IF(I333&gt;0,IF(O333&gt;0,$R$4*MAX(O333-V333,0),0),0)/I333,2),0)</f>
        <v>0</v>
      </c>
      <c r="AI333" s="82">
        <f>IFERROR(ROUNDDOWN(INDEX('90% of ACR'!R:R,MATCH(H:H,'90% of ACR'!A:A,0))*IF(J333&gt;0,IF(P333&gt;0,$R$4*MAX(P333-W333,0),0),0)/J333,2),0)</f>
        <v>0.24</v>
      </c>
      <c r="AJ333" s="45">
        <f t="shared" si="111"/>
        <v>0</v>
      </c>
      <c r="AK333" s="45">
        <f t="shared" si="111"/>
        <v>1254547.0890961741</v>
      </c>
      <c r="AL333" s="47">
        <f t="shared" si="112"/>
        <v>1.57</v>
      </c>
      <c r="AM333" s="47">
        <f t="shared" si="112"/>
        <v>0.54</v>
      </c>
      <c r="AN333" s="83">
        <f>IFERROR(INDEX('Fee Calc'!P:P,MATCH(C333,'Fee Calc'!F:F,0)),0)</f>
        <v>37561665.273897335</v>
      </c>
      <c r="AO333" s="83">
        <f>IFERROR(INDEX('Fee Calc'!Q:Q,MATCH(C333,'Fee Calc'!F:F,0)),0)</f>
        <v>2323517.8015937358</v>
      </c>
      <c r="AP333" s="83">
        <f t="shared" si="113"/>
        <v>39885183.075491071</v>
      </c>
      <c r="AQ333" s="70">
        <f t="shared" si="114"/>
        <v>17032249.499093104</v>
      </c>
      <c r="AR333" s="70">
        <f t="shared" si="115"/>
        <v>8516124.7495465521</v>
      </c>
      <c r="AS333" s="70">
        <f t="shared" si="116"/>
        <v>8516124.7495465521</v>
      </c>
    </row>
    <row r="334" spans="1:45">
      <c r="A334" s="104" t="s">
        <v>892</v>
      </c>
      <c r="B334" s="124" t="s">
        <v>892</v>
      </c>
      <c r="C334" s="31" t="s">
        <v>893</v>
      </c>
      <c r="D334" s="125" t="s">
        <v>893</v>
      </c>
      <c r="E334" s="119" t="s">
        <v>2456</v>
      </c>
      <c r="F334" s="100" t="s">
        <v>2291</v>
      </c>
      <c r="G334" s="100" t="s">
        <v>227</v>
      </c>
      <c r="H334" s="43" t="str">
        <f t="shared" si="99"/>
        <v>Rural MRSA West</v>
      </c>
      <c r="I334" s="45">
        <f>INDEX('Fee Calc'!M:M,MATCH(C:C,'Fee Calc'!F:F,0))</f>
        <v>408630.79316822282</v>
      </c>
      <c r="J334" s="45">
        <f>INDEX('Fee Calc'!L:L,MATCH(C:C,'Fee Calc'!F:F,0))</f>
        <v>84504.488702277202</v>
      </c>
      <c r="K334" s="45">
        <f t="shared" si="100"/>
        <v>493135.28187050001</v>
      </c>
      <c r="L334" s="45">
        <v>523.07000000000005</v>
      </c>
      <c r="M334" s="45">
        <v>23938.62</v>
      </c>
      <c r="N334" s="45">
        <f t="shared" si="101"/>
        <v>24461.69</v>
      </c>
      <c r="O334" s="45">
        <v>-5081.7125589902207</v>
      </c>
      <c r="P334" s="45">
        <v>31519.646901557629</v>
      </c>
      <c r="Q334" s="45">
        <f t="shared" si="102"/>
        <v>26437.934342567409</v>
      </c>
      <c r="R334" s="45" t="str">
        <f t="shared" si="103"/>
        <v>No</v>
      </c>
      <c r="S334" s="46" t="str">
        <f t="shared" si="103"/>
        <v>Yes</v>
      </c>
      <c r="T334" s="47">
        <f>ROUND(INDEX(Summary!H:H,MATCH(H:H,Summary!A:A,0)),2)</f>
        <v>0</v>
      </c>
      <c r="U334" s="47">
        <f>ROUND(INDEX(Summary!I:I,MATCH(H:H,Summary!A:A,0)),2)</f>
        <v>0.2</v>
      </c>
      <c r="V334" s="81">
        <f t="shared" si="104"/>
        <v>0</v>
      </c>
      <c r="W334" s="81">
        <f t="shared" si="104"/>
        <v>16900.897740455443</v>
      </c>
      <c r="X334" s="45">
        <f t="shared" si="105"/>
        <v>16900.897740455443</v>
      </c>
      <c r="Y334" s="45" t="s">
        <v>2752</v>
      </c>
      <c r="Z334" s="45" t="str">
        <f t="shared" si="106"/>
        <v>No</v>
      </c>
      <c r="AA334" s="45" t="str">
        <f t="shared" si="106"/>
        <v>Yes</v>
      </c>
      <c r="AB334" s="45" t="str">
        <f t="shared" si="107"/>
        <v>Yes</v>
      </c>
      <c r="AC334" s="82">
        <f t="shared" si="108"/>
        <v>0</v>
      </c>
      <c r="AD334" s="82">
        <f t="shared" si="108"/>
        <v>0.12</v>
      </c>
      <c r="AE334" s="45">
        <f t="shared" si="109"/>
        <v>0</v>
      </c>
      <c r="AF334" s="45">
        <f t="shared" si="109"/>
        <v>10140.538644273263</v>
      </c>
      <c r="AG334" s="45">
        <f t="shared" si="110"/>
        <v>10140.538644273263</v>
      </c>
      <c r="AH334" s="47">
        <f>IFERROR(ROUNDDOWN(INDEX('90% of ACR'!K:K,MATCH(H:H,'90% of ACR'!A:A,0))*IF(I334&gt;0,IF(O334&gt;0,$R$4*MAX(O334-V334,0),0),0)/I334,2),0)</f>
        <v>0</v>
      </c>
      <c r="AI334" s="82">
        <f>IFERROR(ROUNDDOWN(INDEX('90% of ACR'!R:R,MATCH(H:H,'90% of ACR'!A:A,0))*IF(J334&gt;0,IF(P334&gt;0,$R$4*MAX(P334-W334,0),0),0)/J334,2),0)</f>
        <v>0.1</v>
      </c>
      <c r="AJ334" s="45">
        <f t="shared" si="111"/>
        <v>0</v>
      </c>
      <c r="AK334" s="45">
        <f t="shared" si="111"/>
        <v>8450.4488702277213</v>
      </c>
      <c r="AL334" s="47">
        <f t="shared" si="112"/>
        <v>0</v>
      </c>
      <c r="AM334" s="47">
        <f t="shared" si="112"/>
        <v>0.30000000000000004</v>
      </c>
      <c r="AN334" s="83">
        <f>IFERROR(INDEX('Fee Calc'!P:P,MATCH(C334,'Fee Calc'!F:F,0)),0)</f>
        <v>25351.346610683166</v>
      </c>
      <c r="AO334" s="83">
        <f>IFERROR(INDEX('Fee Calc'!Q:Q,MATCH(C334,'Fee Calc'!F:F,0)),0)</f>
        <v>1576.1748282859146</v>
      </c>
      <c r="AP334" s="83">
        <f t="shared" si="113"/>
        <v>26927.521438969081</v>
      </c>
      <c r="AQ334" s="70">
        <f t="shared" si="114"/>
        <v>11498.913335125844</v>
      </c>
      <c r="AR334" s="70">
        <f t="shared" si="115"/>
        <v>5749.4566675629221</v>
      </c>
      <c r="AS334" s="70">
        <f t="shared" si="116"/>
        <v>5749.4566675629221</v>
      </c>
    </row>
    <row r="335" spans="1:45">
      <c r="A335" s="104" t="s">
        <v>614</v>
      </c>
      <c r="B335" s="124" t="s">
        <v>614</v>
      </c>
      <c r="C335" s="31" t="s">
        <v>615</v>
      </c>
      <c r="D335" s="125" t="s">
        <v>615</v>
      </c>
      <c r="E335" s="119" t="s">
        <v>1710</v>
      </c>
      <c r="F335" s="100" t="s">
        <v>2291</v>
      </c>
      <c r="G335" s="100" t="s">
        <v>227</v>
      </c>
      <c r="H335" s="43" t="str">
        <f t="shared" si="99"/>
        <v>Rural MRSA West</v>
      </c>
      <c r="I335" s="45">
        <f>INDEX('Fee Calc'!M:M,MATCH(C:C,'Fee Calc'!F:F,0))</f>
        <v>20867.642327581583</v>
      </c>
      <c r="J335" s="45">
        <f>INDEX('Fee Calc'!L:L,MATCH(C:C,'Fee Calc'!F:F,0))</f>
        <v>183932.11104506897</v>
      </c>
      <c r="K335" s="45">
        <f t="shared" si="100"/>
        <v>204799.75337265056</v>
      </c>
      <c r="L335" s="45">
        <v>31699.38</v>
      </c>
      <c r="M335" s="45">
        <v>-15051.63</v>
      </c>
      <c r="N335" s="45">
        <f t="shared" si="101"/>
        <v>16647.75</v>
      </c>
      <c r="O335" s="45">
        <v>-5341.7999681916972</v>
      </c>
      <c r="P335" s="45">
        <v>118641.52553395202</v>
      </c>
      <c r="Q335" s="45">
        <f t="shared" si="102"/>
        <v>113299.72556576032</v>
      </c>
      <c r="R335" s="45" t="str">
        <f t="shared" si="103"/>
        <v>No</v>
      </c>
      <c r="S335" s="46" t="str">
        <f t="shared" si="103"/>
        <v>Yes</v>
      </c>
      <c r="T335" s="47">
        <f>ROUND(INDEX(Summary!H:H,MATCH(H:H,Summary!A:A,0)),2)</f>
        <v>0</v>
      </c>
      <c r="U335" s="47">
        <f>ROUND(INDEX(Summary!I:I,MATCH(H:H,Summary!A:A,0)),2)</f>
        <v>0.2</v>
      </c>
      <c r="V335" s="81">
        <f t="shared" si="104"/>
        <v>0</v>
      </c>
      <c r="W335" s="81">
        <f t="shared" si="104"/>
        <v>36786.422209013799</v>
      </c>
      <c r="X335" s="45">
        <f t="shared" si="105"/>
        <v>36786.422209013799</v>
      </c>
      <c r="Y335" s="45" t="s">
        <v>2752</v>
      </c>
      <c r="Z335" s="45" t="str">
        <f t="shared" si="106"/>
        <v>No</v>
      </c>
      <c r="AA335" s="45" t="str">
        <f t="shared" si="106"/>
        <v>Yes</v>
      </c>
      <c r="AB335" s="45" t="str">
        <f t="shared" si="107"/>
        <v>Yes</v>
      </c>
      <c r="AC335" s="82">
        <f t="shared" si="108"/>
        <v>0</v>
      </c>
      <c r="AD335" s="82">
        <f t="shared" si="108"/>
        <v>0.31</v>
      </c>
      <c r="AE335" s="45">
        <f t="shared" si="109"/>
        <v>0</v>
      </c>
      <c r="AF335" s="45">
        <f t="shared" si="109"/>
        <v>57018.95442397138</v>
      </c>
      <c r="AG335" s="45">
        <f t="shared" si="110"/>
        <v>57018.95442397138</v>
      </c>
      <c r="AH335" s="47">
        <f>IFERROR(ROUNDDOWN(INDEX('90% of ACR'!K:K,MATCH(H:H,'90% of ACR'!A:A,0))*IF(I335&gt;0,IF(O335&gt;0,$R$4*MAX(O335-V335,0),0),0)/I335,2),0)</f>
        <v>0</v>
      </c>
      <c r="AI335" s="82">
        <f>IFERROR(ROUNDDOWN(INDEX('90% of ACR'!R:R,MATCH(H:H,'90% of ACR'!A:A,0))*IF(J335&gt;0,IF(P335&gt;0,$R$4*MAX(P335-W335,0),0),0)/J335,2),0)</f>
        <v>0.27</v>
      </c>
      <c r="AJ335" s="45">
        <f t="shared" si="111"/>
        <v>0</v>
      </c>
      <c r="AK335" s="45">
        <f t="shared" si="111"/>
        <v>49661.669982168627</v>
      </c>
      <c r="AL335" s="47">
        <f t="shared" si="112"/>
        <v>0</v>
      </c>
      <c r="AM335" s="47">
        <f t="shared" si="112"/>
        <v>0.47000000000000003</v>
      </c>
      <c r="AN335" s="83">
        <f>IFERROR(INDEX('Fee Calc'!P:P,MATCH(C335,'Fee Calc'!F:F,0)),0)</f>
        <v>86448.092191182426</v>
      </c>
      <c r="AO335" s="83">
        <f>IFERROR(INDEX('Fee Calc'!Q:Q,MATCH(C335,'Fee Calc'!F:F,0)),0)</f>
        <v>5324.1451002966951</v>
      </c>
      <c r="AP335" s="83">
        <f t="shared" si="113"/>
        <v>91772.237291479119</v>
      </c>
      <c r="AQ335" s="70">
        <f t="shared" si="114"/>
        <v>39189.682035054917</v>
      </c>
      <c r="AR335" s="70">
        <f t="shared" si="115"/>
        <v>19594.841017527458</v>
      </c>
      <c r="AS335" s="70">
        <f t="shared" si="116"/>
        <v>19594.841017527458</v>
      </c>
    </row>
    <row r="336" spans="1:45">
      <c r="A336" s="104" t="s">
        <v>986</v>
      </c>
      <c r="B336" s="124" t="s">
        <v>986</v>
      </c>
      <c r="C336" s="31" t="s">
        <v>987</v>
      </c>
      <c r="D336" s="125" t="s">
        <v>987</v>
      </c>
      <c r="E336" s="119" t="s">
        <v>1900</v>
      </c>
      <c r="F336" s="100" t="s">
        <v>2291</v>
      </c>
      <c r="G336" s="100" t="s">
        <v>227</v>
      </c>
      <c r="H336" s="43" t="str">
        <f t="shared" si="99"/>
        <v>Rural MRSA West</v>
      </c>
      <c r="I336" s="45">
        <f>INDEX('Fee Calc'!M:M,MATCH(C:C,'Fee Calc'!F:F,0))</f>
        <v>4740.1521476468461</v>
      </c>
      <c r="J336" s="45">
        <f>INDEX('Fee Calc'!L:L,MATCH(C:C,'Fee Calc'!F:F,0))</f>
        <v>117365.4915811894</v>
      </c>
      <c r="K336" s="45">
        <f t="shared" si="100"/>
        <v>122105.64372883625</v>
      </c>
      <c r="L336" s="45">
        <v>0</v>
      </c>
      <c r="M336" s="45">
        <v>16471.18</v>
      </c>
      <c r="N336" s="45">
        <f t="shared" si="101"/>
        <v>16471.18</v>
      </c>
      <c r="O336" s="45">
        <v>0</v>
      </c>
      <c r="P336" s="45">
        <v>-6688.6970564302683</v>
      </c>
      <c r="Q336" s="45">
        <f t="shared" si="102"/>
        <v>-6688.6970564302683</v>
      </c>
      <c r="R336" s="45" t="str">
        <f t="shared" si="103"/>
        <v>No</v>
      </c>
      <c r="S336" s="46" t="str">
        <f t="shared" si="103"/>
        <v>No</v>
      </c>
      <c r="T336" s="47">
        <f>ROUND(INDEX(Summary!H:H,MATCH(H:H,Summary!A:A,0)),2)</f>
        <v>0</v>
      </c>
      <c r="U336" s="47">
        <f>ROUND(INDEX(Summary!I:I,MATCH(H:H,Summary!A:A,0)),2)</f>
        <v>0.2</v>
      </c>
      <c r="V336" s="81">
        <f t="shared" si="104"/>
        <v>0</v>
      </c>
      <c r="W336" s="81">
        <f t="shared" si="104"/>
        <v>23473.098316237883</v>
      </c>
      <c r="X336" s="45">
        <f t="shared" si="105"/>
        <v>23473.098316237883</v>
      </c>
      <c r="Y336" s="45" t="s">
        <v>2752</v>
      </c>
      <c r="Z336" s="45" t="str">
        <f t="shared" si="106"/>
        <v>No</v>
      </c>
      <c r="AA336" s="45" t="str">
        <f t="shared" si="106"/>
        <v>No</v>
      </c>
      <c r="AB336" s="45" t="str">
        <f t="shared" si="107"/>
        <v>No</v>
      </c>
      <c r="AC336" s="82">
        <f t="shared" si="108"/>
        <v>0</v>
      </c>
      <c r="AD336" s="82">
        <f t="shared" si="108"/>
        <v>0</v>
      </c>
      <c r="AE336" s="45">
        <f t="shared" si="109"/>
        <v>0</v>
      </c>
      <c r="AF336" s="45">
        <f t="shared" si="109"/>
        <v>0</v>
      </c>
      <c r="AG336" s="45">
        <f t="shared" si="110"/>
        <v>0</v>
      </c>
      <c r="AH336" s="47">
        <f>IFERROR(ROUNDDOWN(INDEX('90% of ACR'!K:K,MATCH(H:H,'90% of ACR'!A:A,0))*IF(I336&gt;0,IF(O336&gt;0,$R$4*MAX(O336-V336,0),0),0)/I336,2),0)</f>
        <v>0</v>
      </c>
      <c r="AI336" s="82">
        <f>IFERROR(ROUNDDOWN(INDEX('90% of ACR'!R:R,MATCH(H:H,'90% of ACR'!A:A,0))*IF(J336&gt;0,IF(P336&gt;0,$R$4*MAX(P336-W336,0),0),0)/J336,2),0)</f>
        <v>0</v>
      </c>
      <c r="AJ336" s="45">
        <f t="shared" si="111"/>
        <v>0</v>
      </c>
      <c r="AK336" s="45">
        <f t="shared" si="111"/>
        <v>0</v>
      </c>
      <c r="AL336" s="47">
        <f t="shared" si="112"/>
        <v>0</v>
      </c>
      <c r="AM336" s="47">
        <f t="shared" si="112"/>
        <v>0.2</v>
      </c>
      <c r="AN336" s="83">
        <f>IFERROR(INDEX('Fee Calc'!P:P,MATCH(C336,'Fee Calc'!F:F,0)),0)</f>
        <v>23473.098316237883</v>
      </c>
      <c r="AO336" s="83">
        <f>IFERROR(INDEX('Fee Calc'!Q:Q,MATCH(C336,'Fee Calc'!F:F,0)),0)</f>
        <v>1435.6270221800585</v>
      </c>
      <c r="AP336" s="83">
        <f t="shared" si="113"/>
        <v>24908.725338417942</v>
      </c>
      <c r="AQ336" s="70">
        <f t="shared" si="114"/>
        <v>10636.822798715291</v>
      </c>
      <c r="AR336" s="70">
        <f t="shared" si="115"/>
        <v>5318.4113993576457</v>
      </c>
      <c r="AS336" s="70">
        <f t="shared" si="116"/>
        <v>5318.4113993576457</v>
      </c>
    </row>
    <row r="337" spans="1:45" ht="25.5">
      <c r="A337" s="104" t="s">
        <v>1265</v>
      </c>
      <c r="B337" s="124" t="s">
        <v>1265</v>
      </c>
      <c r="C337" s="31" t="s">
        <v>1266</v>
      </c>
      <c r="D337" s="125" t="s">
        <v>1266</v>
      </c>
      <c r="E337" s="119" t="s">
        <v>2917</v>
      </c>
      <c r="F337" s="100" t="s">
        <v>2529</v>
      </c>
      <c r="G337" s="100" t="s">
        <v>300</v>
      </c>
      <c r="H337" s="43" t="str">
        <f t="shared" si="99"/>
        <v>Non-state-owned IMD Harris</v>
      </c>
      <c r="I337" s="45">
        <f>INDEX('Fee Calc'!M:M,MATCH(C:C,'Fee Calc'!F:F,0))</f>
        <v>3703159.7875933875</v>
      </c>
      <c r="J337" s="45">
        <f>INDEX('Fee Calc'!L:L,MATCH(C:C,'Fee Calc'!F:F,0))</f>
        <v>0</v>
      </c>
      <c r="K337" s="45">
        <f t="shared" si="100"/>
        <v>3703159.7875933875</v>
      </c>
      <c r="L337" s="45">
        <v>974932.86</v>
      </c>
      <c r="M337" s="45">
        <v>0</v>
      </c>
      <c r="N337" s="45">
        <f t="shared" si="101"/>
        <v>974932.86</v>
      </c>
      <c r="O337" s="45">
        <v>838342.57013351307</v>
      </c>
      <c r="P337" s="45">
        <v>0</v>
      </c>
      <c r="Q337" s="45">
        <f t="shared" si="102"/>
        <v>838342.57013351307</v>
      </c>
      <c r="R337" s="45" t="str">
        <f t="shared" si="103"/>
        <v>Yes</v>
      </c>
      <c r="S337" s="46" t="str">
        <f t="shared" si="103"/>
        <v>No</v>
      </c>
      <c r="T337" s="47">
        <f>ROUND(INDEX(Summary!H:H,MATCH(H:H,Summary!A:A,0)),2)</f>
        <v>0.24</v>
      </c>
      <c r="U337" s="47">
        <f>ROUND(INDEX(Summary!I:I,MATCH(H:H,Summary!A:A,0)),2)</f>
        <v>0</v>
      </c>
      <c r="V337" s="81">
        <f t="shared" si="104"/>
        <v>888758.34902241302</v>
      </c>
      <c r="W337" s="81">
        <f t="shared" si="104"/>
        <v>0</v>
      </c>
      <c r="X337" s="45">
        <f t="shared" si="105"/>
        <v>888758.34902241302</v>
      </c>
      <c r="Y337" s="45" t="s">
        <v>2752</v>
      </c>
      <c r="Z337" s="45" t="str">
        <f t="shared" si="106"/>
        <v>No</v>
      </c>
      <c r="AA337" s="45" t="str">
        <f t="shared" si="106"/>
        <v>No</v>
      </c>
      <c r="AB337" s="45" t="str">
        <f t="shared" si="107"/>
        <v>No</v>
      </c>
      <c r="AC337" s="82">
        <f t="shared" si="108"/>
        <v>0</v>
      </c>
      <c r="AD337" s="82">
        <f t="shared" si="108"/>
        <v>0</v>
      </c>
      <c r="AE337" s="45">
        <f t="shared" si="109"/>
        <v>0</v>
      </c>
      <c r="AF337" s="45">
        <f t="shared" si="109"/>
        <v>0</v>
      </c>
      <c r="AG337" s="45">
        <f t="shared" si="110"/>
        <v>0</v>
      </c>
      <c r="AH337" s="47">
        <f>IFERROR(ROUNDDOWN(INDEX('90% of ACR'!K:K,MATCH(H:H,'90% of ACR'!A:A,0))*IF(I337&gt;0,IF(O337&gt;0,$R$4*MAX(O337-V337,0),0),0)/I337,2),0)</f>
        <v>0</v>
      </c>
      <c r="AI337" s="82">
        <f>IFERROR(ROUNDDOWN(INDEX('90% of ACR'!R:R,MATCH(H:H,'90% of ACR'!A:A,0))*IF(J337&gt;0,IF(P337&gt;0,$R$4*MAX(P337-W337,0),0),0)/J337,2),0)</f>
        <v>0</v>
      </c>
      <c r="AJ337" s="45">
        <f t="shared" si="111"/>
        <v>0</v>
      </c>
      <c r="AK337" s="45">
        <f t="shared" si="111"/>
        <v>0</v>
      </c>
      <c r="AL337" s="47">
        <f t="shared" si="112"/>
        <v>0.24</v>
      </c>
      <c r="AM337" s="47">
        <f t="shared" si="112"/>
        <v>0</v>
      </c>
      <c r="AN337" s="83">
        <f>IFERROR(INDEX('Fee Calc'!P:P,MATCH(C337,'Fee Calc'!F:F,0)),0)</f>
        <v>888758.34902241302</v>
      </c>
      <c r="AO337" s="83">
        <f>IFERROR(INDEX('Fee Calc'!Q:Q,MATCH(C337,'Fee Calc'!F:F,0)),0)</f>
        <v>54221.331637972144</v>
      </c>
      <c r="AP337" s="83">
        <f t="shared" si="113"/>
        <v>942979.68066038517</v>
      </c>
      <c r="AQ337" s="70">
        <f t="shared" si="114"/>
        <v>402682.49899176561</v>
      </c>
      <c r="AR337" s="70">
        <f t="shared" si="115"/>
        <v>201341.2494958828</v>
      </c>
      <c r="AS337" s="70">
        <f t="shared" si="116"/>
        <v>201341.2494958828</v>
      </c>
    </row>
    <row r="338" spans="1:45">
      <c r="A338" s="104" t="s">
        <v>1101</v>
      </c>
      <c r="B338" s="124" t="s">
        <v>1101</v>
      </c>
      <c r="C338" s="31" t="s">
        <v>1102</v>
      </c>
      <c r="D338" s="125" t="s">
        <v>1102</v>
      </c>
      <c r="E338" s="119" t="s">
        <v>2606</v>
      </c>
      <c r="F338" s="100" t="s">
        <v>2279</v>
      </c>
      <c r="G338" s="100" t="s">
        <v>1365</v>
      </c>
      <c r="H338" s="43" t="str">
        <f t="shared" si="99"/>
        <v>Urban Tarrant</v>
      </c>
      <c r="I338" s="45">
        <f>INDEX('Fee Calc'!M:M,MATCH(C:C,'Fee Calc'!F:F,0))</f>
        <v>32236906.255434848</v>
      </c>
      <c r="J338" s="45">
        <f>INDEX('Fee Calc'!L:L,MATCH(C:C,'Fee Calc'!F:F,0))</f>
        <v>12580488.258986913</v>
      </c>
      <c r="K338" s="45">
        <f t="shared" si="100"/>
        <v>44817394.514421761</v>
      </c>
      <c r="L338" s="45">
        <v>13394790.99</v>
      </c>
      <c r="M338" s="45">
        <v>3219004.63</v>
      </c>
      <c r="N338" s="45">
        <f t="shared" si="101"/>
        <v>16613795.620000001</v>
      </c>
      <c r="O338" s="45">
        <v>86358841.534700751</v>
      </c>
      <c r="P338" s="45">
        <v>11258140.23493604</v>
      </c>
      <c r="Q338" s="45">
        <f t="shared" si="102"/>
        <v>97616981.769636795</v>
      </c>
      <c r="R338" s="45" t="str">
        <f t="shared" si="103"/>
        <v>Yes</v>
      </c>
      <c r="S338" s="46" t="str">
        <f t="shared" si="103"/>
        <v>Yes</v>
      </c>
      <c r="T338" s="47">
        <f>ROUND(INDEX(Summary!H:H,MATCH(H:H,Summary!A:A,0)),2)</f>
        <v>0.74</v>
      </c>
      <c r="U338" s="47">
        <f>ROUND(INDEX(Summary!I:I,MATCH(H:H,Summary!A:A,0)),2)</f>
        <v>0.49</v>
      </c>
      <c r="V338" s="81">
        <f t="shared" si="104"/>
        <v>23855310.629021786</v>
      </c>
      <c r="W338" s="81">
        <f t="shared" si="104"/>
        <v>6164439.2469035871</v>
      </c>
      <c r="X338" s="45">
        <f t="shared" si="105"/>
        <v>30019749.875925373</v>
      </c>
      <c r="Y338" s="45" t="s">
        <v>2752</v>
      </c>
      <c r="Z338" s="45" t="str">
        <f t="shared" si="106"/>
        <v>Yes</v>
      </c>
      <c r="AA338" s="45" t="str">
        <f t="shared" si="106"/>
        <v>Yes</v>
      </c>
      <c r="AB338" s="45" t="str">
        <f t="shared" si="107"/>
        <v>Yes</v>
      </c>
      <c r="AC338" s="82">
        <f t="shared" si="108"/>
        <v>1.35</v>
      </c>
      <c r="AD338" s="82">
        <f t="shared" si="108"/>
        <v>0.28000000000000003</v>
      </c>
      <c r="AE338" s="45">
        <f t="shared" si="109"/>
        <v>43519823.444837049</v>
      </c>
      <c r="AF338" s="45">
        <f t="shared" si="109"/>
        <v>3522536.7125163358</v>
      </c>
      <c r="AG338" s="45">
        <f t="shared" si="110"/>
        <v>47042360.157353386</v>
      </c>
      <c r="AH338" s="47">
        <f>IFERROR(ROUNDDOWN(INDEX('90% of ACR'!K:K,MATCH(H:H,'90% of ACR'!A:A,0))*IF(I338&gt;0,IF(O338&gt;0,$R$4*MAX(O338-V338,0),0),0)/I338,2),0)</f>
        <v>1.35</v>
      </c>
      <c r="AI338" s="82">
        <f>IFERROR(ROUNDDOWN(INDEX('90% of ACR'!R:R,MATCH(H:H,'90% of ACR'!A:A,0))*IF(J338&gt;0,IF(P338&gt;0,$R$4*MAX(P338-W338,0),0),0)/J338,2),0)</f>
        <v>0.27</v>
      </c>
      <c r="AJ338" s="45">
        <f t="shared" si="111"/>
        <v>43519823.444837049</v>
      </c>
      <c r="AK338" s="45">
        <f t="shared" si="111"/>
        <v>3396731.8299264666</v>
      </c>
      <c r="AL338" s="47">
        <f t="shared" si="112"/>
        <v>2.09</v>
      </c>
      <c r="AM338" s="47">
        <f t="shared" si="112"/>
        <v>0.76</v>
      </c>
      <c r="AN338" s="83">
        <f>IFERROR(INDEX('Fee Calc'!P:P,MATCH(C338,'Fee Calc'!F:F,0)),0)</f>
        <v>76936305.150688887</v>
      </c>
      <c r="AO338" s="83">
        <f>IFERROR(INDEX('Fee Calc'!Q:Q,MATCH(C338,'Fee Calc'!F:F,0)),0)</f>
        <v>4786125.6455566958</v>
      </c>
      <c r="AP338" s="83">
        <f t="shared" si="113"/>
        <v>81722430.796245575</v>
      </c>
      <c r="AQ338" s="70">
        <f t="shared" si="114"/>
        <v>34898093.067782342</v>
      </c>
      <c r="AR338" s="70">
        <f t="shared" si="115"/>
        <v>17449046.533891171</v>
      </c>
      <c r="AS338" s="70">
        <f t="shared" si="116"/>
        <v>17449046.533891171</v>
      </c>
    </row>
    <row r="339" spans="1:45">
      <c r="A339" s="104" t="s">
        <v>437</v>
      </c>
      <c r="B339" s="124" t="s">
        <v>437</v>
      </c>
      <c r="C339" s="31" t="s">
        <v>438</v>
      </c>
      <c r="D339" s="125" t="s">
        <v>438</v>
      </c>
      <c r="E339" s="119" t="s">
        <v>2918</v>
      </c>
      <c r="F339" s="100" t="s">
        <v>1547</v>
      </c>
      <c r="G339" s="100" t="s">
        <v>223</v>
      </c>
      <c r="H339" s="43" t="str">
        <f t="shared" si="99"/>
        <v>Children's Dallas</v>
      </c>
      <c r="I339" s="45">
        <f>INDEX('Fee Calc'!M:M,MATCH(C:C,'Fee Calc'!F:F,0))</f>
        <v>5341548.6254913323</v>
      </c>
      <c r="J339" s="45">
        <f>INDEX('Fee Calc'!L:L,MATCH(C:C,'Fee Calc'!F:F,0))</f>
        <v>2575020.1784381503</v>
      </c>
      <c r="K339" s="45">
        <f t="shared" si="100"/>
        <v>7916568.8039294826</v>
      </c>
      <c r="L339" s="45">
        <v>-1615705.21</v>
      </c>
      <c r="M339" s="45">
        <v>321017.96000000002</v>
      </c>
      <c r="N339" s="45">
        <f t="shared" si="101"/>
        <v>-1294687.25</v>
      </c>
      <c r="O339" s="45">
        <v>124900.26783476816</v>
      </c>
      <c r="P339" s="45">
        <v>1173379.4444868104</v>
      </c>
      <c r="Q339" s="45">
        <f t="shared" si="102"/>
        <v>1298279.7123215785</v>
      </c>
      <c r="R339" s="45" t="str">
        <f t="shared" si="103"/>
        <v>Yes</v>
      </c>
      <c r="S339" s="46" t="str">
        <f t="shared" si="103"/>
        <v>Yes</v>
      </c>
      <c r="T339" s="47">
        <f>ROUND(INDEX(Summary!H:H,MATCH(H:H,Summary!A:A,0)),2)</f>
        <v>0.71</v>
      </c>
      <c r="U339" s="47">
        <f>ROUND(INDEX(Summary!I:I,MATCH(H:H,Summary!A:A,0)),2)</f>
        <v>0</v>
      </c>
      <c r="V339" s="81">
        <f t="shared" si="104"/>
        <v>3792499.5240988457</v>
      </c>
      <c r="W339" s="81">
        <f t="shared" si="104"/>
        <v>0</v>
      </c>
      <c r="X339" s="45">
        <f t="shared" si="105"/>
        <v>3792499.5240988457</v>
      </c>
      <c r="Y339" s="45" t="s">
        <v>2752</v>
      </c>
      <c r="Z339" s="45" t="str">
        <f t="shared" si="106"/>
        <v>No</v>
      </c>
      <c r="AA339" s="45" t="str">
        <f t="shared" si="106"/>
        <v>Yes</v>
      </c>
      <c r="AB339" s="45" t="str">
        <f t="shared" si="107"/>
        <v>Yes</v>
      </c>
      <c r="AC339" s="82">
        <f t="shared" si="108"/>
        <v>0</v>
      </c>
      <c r="AD339" s="82">
        <f t="shared" si="108"/>
        <v>0.32</v>
      </c>
      <c r="AE339" s="45">
        <f t="shared" si="109"/>
        <v>0</v>
      </c>
      <c r="AF339" s="45">
        <f t="shared" si="109"/>
        <v>824006.45710020815</v>
      </c>
      <c r="AG339" s="45">
        <f t="shared" si="110"/>
        <v>824006.45710020815</v>
      </c>
      <c r="AH339" s="47">
        <f>IFERROR(ROUNDDOWN(INDEX('90% of ACR'!K:K,MATCH(H:H,'90% of ACR'!A:A,0))*IF(I339&gt;0,IF(O339&gt;0,$R$4*MAX(O339-V339,0),0),0)/I339,2),0)</f>
        <v>0</v>
      </c>
      <c r="AI339" s="82">
        <f>IFERROR(ROUNDDOWN(INDEX('90% of ACR'!R:R,MATCH(H:H,'90% of ACR'!A:A,0))*IF(J339&gt;0,IF(P339&gt;0,$R$4*MAX(P339-W339,0),0),0)/J339,2),0)</f>
        <v>0.31</v>
      </c>
      <c r="AJ339" s="45">
        <f t="shared" si="111"/>
        <v>0</v>
      </c>
      <c r="AK339" s="45">
        <f t="shared" si="111"/>
        <v>798256.25531582662</v>
      </c>
      <c r="AL339" s="47">
        <f t="shared" si="112"/>
        <v>0.71</v>
      </c>
      <c r="AM339" s="47">
        <f t="shared" si="112"/>
        <v>0.31</v>
      </c>
      <c r="AN339" s="83">
        <f>IFERROR(INDEX('Fee Calc'!P:P,MATCH(C339,'Fee Calc'!F:F,0)),0)</f>
        <v>4590755.7794146724</v>
      </c>
      <c r="AO339" s="83">
        <f>IFERROR(INDEX('Fee Calc'!Q:Q,MATCH(C339,'Fee Calc'!F:F,0)),0)</f>
        <v>280073.69050163333</v>
      </c>
      <c r="AP339" s="83">
        <f t="shared" si="113"/>
        <v>4870829.4699163055</v>
      </c>
      <c r="AQ339" s="70">
        <f t="shared" si="114"/>
        <v>2080000.0501972998</v>
      </c>
      <c r="AR339" s="70">
        <f t="shared" si="115"/>
        <v>1040000.0250986499</v>
      </c>
      <c r="AS339" s="70">
        <f t="shared" si="116"/>
        <v>1040000.0250986499</v>
      </c>
    </row>
    <row r="340" spans="1:45">
      <c r="A340" s="104" t="s">
        <v>1104</v>
      </c>
      <c r="B340" s="124" t="s">
        <v>1104</v>
      </c>
      <c r="C340" s="31" t="s">
        <v>1105</v>
      </c>
      <c r="D340" s="125" t="s">
        <v>1105</v>
      </c>
      <c r="E340" s="119" t="s">
        <v>2608</v>
      </c>
      <c r="F340" s="100" t="s">
        <v>2279</v>
      </c>
      <c r="G340" s="100" t="s">
        <v>1365</v>
      </c>
      <c r="H340" s="43" t="str">
        <f t="shared" si="99"/>
        <v>Urban Tarrant</v>
      </c>
      <c r="I340" s="45">
        <f>INDEX('Fee Calc'!M:M,MATCH(C:C,'Fee Calc'!F:F,0))</f>
        <v>10402096.008987272</v>
      </c>
      <c r="J340" s="45">
        <f>INDEX('Fee Calc'!L:L,MATCH(C:C,'Fee Calc'!F:F,0))</f>
        <v>4028343.6553393002</v>
      </c>
      <c r="K340" s="45">
        <f t="shared" si="100"/>
        <v>14430439.664326573</v>
      </c>
      <c r="L340" s="45">
        <v>4132426.06</v>
      </c>
      <c r="M340" s="45">
        <v>1593375.16</v>
      </c>
      <c r="N340" s="45">
        <f t="shared" si="101"/>
        <v>5725801.2199999997</v>
      </c>
      <c r="O340" s="45">
        <v>24349046.196645908</v>
      </c>
      <c r="P340" s="45">
        <v>4396403.7506961394</v>
      </c>
      <c r="Q340" s="45">
        <f t="shared" si="102"/>
        <v>28745449.947342046</v>
      </c>
      <c r="R340" s="45" t="str">
        <f t="shared" si="103"/>
        <v>Yes</v>
      </c>
      <c r="S340" s="46" t="str">
        <f t="shared" si="103"/>
        <v>Yes</v>
      </c>
      <c r="T340" s="47">
        <f>ROUND(INDEX(Summary!H:H,MATCH(H:H,Summary!A:A,0)),2)</f>
        <v>0.74</v>
      </c>
      <c r="U340" s="47">
        <f>ROUND(INDEX(Summary!I:I,MATCH(H:H,Summary!A:A,0)),2)</f>
        <v>0.49</v>
      </c>
      <c r="V340" s="81">
        <f t="shared" si="104"/>
        <v>7697551.0466505811</v>
      </c>
      <c r="W340" s="81">
        <f t="shared" si="104"/>
        <v>1973888.3911162571</v>
      </c>
      <c r="X340" s="45">
        <f t="shared" si="105"/>
        <v>9671439.4377668388</v>
      </c>
      <c r="Y340" s="45" t="s">
        <v>2752</v>
      </c>
      <c r="Z340" s="45" t="str">
        <f t="shared" si="106"/>
        <v>Yes</v>
      </c>
      <c r="AA340" s="45" t="str">
        <f t="shared" si="106"/>
        <v>Yes</v>
      </c>
      <c r="AB340" s="45" t="str">
        <f t="shared" si="107"/>
        <v>Yes</v>
      </c>
      <c r="AC340" s="82">
        <f t="shared" si="108"/>
        <v>1.1200000000000001</v>
      </c>
      <c r="AD340" s="82">
        <f t="shared" si="108"/>
        <v>0.42</v>
      </c>
      <c r="AE340" s="45">
        <f t="shared" si="109"/>
        <v>11650347.530065745</v>
      </c>
      <c r="AF340" s="45">
        <f t="shared" si="109"/>
        <v>1691904.3352425061</v>
      </c>
      <c r="AG340" s="45">
        <f t="shared" si="110"/>
        <v>13342251.865308251</v>
      </c>
      <c r="AH340" s="47">
        <f>IFERROR(ROUNDDOWN(INDEX('90% of ACR'!K:K,MATCH(H:H,'90% of ACR'!A:A,0))*IF(I340&gt;0,IF(O340&gt;0,$R$4*MAX(O340-V340,0),0),0)/I340,2),0)</f>
        <v>1.1100000000000001</v>
      </c>
      <c r="AI340" s="82">
        <f>IFERROR(ROUNDDOWN(INDEX('90% of ACR'!R:R,MATCH(H:H,'90% of ACR'!A:A,0))*IF(J340&gt;0,IF(P340&gt;0,$R$4*MAX(P340-W340,0),0),0)/J340,2),0)</f>
        <v>0.4</v>
      </c>
      <c r="AJ340" s="45">
        <f t="shared" si="111"/>
        <v>11546326.569975873</v>
      </c>
      <c r="AK340" s="45">
        <f t="shared" si="111"/>
        <v>1611337.4621357201</v>
      </c>
      <c r="AL340" s="47">
        <f t="shared" si="112"/>
        <v>1.85</v>
      </c>
      <c r="AM340" s="47">
        <f t="shared" si="112"/>
        <v>0.89</v>
      </c>
      <c r="AN340" s="83">
        <f>IFERROR(INDEX('Fee Calc'!P:P,MATCH(C340,'Fee Calc'!F:F,0)),0)</f>
        <v>22829103.469878431</v>
      </c>
      <c r="AO340" s="83">
        <f>IFERROR(INDEX('Fee Calc'!Q:Q,MATCH(C340,'Fee Calc'!F:F,0)),0)</f>
        <v>1404863.9851684291</v>
      </c>
      <c r="AP340" s="83">
        <f t="shared" si="113"/>
        <v>24233967.455046862</v>
      </c>
      <c r="AQ340" s="70">
        <f t="shared" si="114"/>
        <v>10348679.590263572</v>
      </c>
      <c r="AR340" s="70">
        <f t="shared" si="115"/>
        <v>5174339.7951317858</v>
      </c>
      <c r="AS340" s="70">
        <f t="shared" si="116"/>
        <v>5174339.7951317858</v>
      </c>
    </row>
    <row r="341" spans="1:45">
      <c r="A341" s="104" t="s">
        <v>314</v>
      </c>
      <c r="B341" s="124" t="s">
        <v>314</v>
      </c>
      <c r="C341" s="31" t="s">
        <v>315</v>
      </c>
      <c r="D341" s="125" t="s">
        <v>315</v>
      </c>
      <c r="E341" s="119" t="s">
        <v>1637</v>
      </c>
      <c r="F341" s="100" t="s">
        <v>2291</v>
      </c>
      <c r="G341" s="100" t="s">
        <v>227</v>
      </c>
      <c r="H341" s="43" t="str">
        <f t="shared" si="99"/>
        <v>Rural MRSA West</v>
      </c>
      <c r="I341" s="45">
        <f>INDEX('Fee Calc'!M:M,MATCH(C:C,'Fee Calc'!F:F,0))</f>
        <v>1235711.3309721111</v>
      </c>
      <c r="J341" s="45">
        <f>INDEX('Fee Calc'!L:L,MATCH(C:C,'Fee Calc'!F:F,0))</f>
        <v>686955.36627316091</v>
      </c>
      <c r="K341" s="45">
        <f t="shared" si="100"/>
        <v>1922666.6972452719</v>
      </c>
      <c r="L341" s="45">
        <v>385329.38</v>
      </c>
      <c r="M341" s="45">
        <v>30133.439999999999</v>
      </c>
      <c r="N341" s="45">
        <f t="shared" si="101"/>
        <v>415462.82</v>
      </c>
      <c r="O341" s="45">
        <v>347585.32944561937</v>
      </c>
      <c r="P341" s="45">
        <v>514164.29947764613</v>
      </c>
      <c r="Q341" s="45">
        <f t="shared" si="102"/>
        <v>861749.6289232655</v>
      </c>
      <c r="R341" s="45" t="str">
        <f t="shared" si="103"/>
        <v>Yes</v>
      </c>
      <c r="S341" s="46" t="str">
        <f t="shared" si="103"/>
        <v>Yes</v>
      </c>
      <c r="T341" s="47">
        <f>ROUND(INDEX(Summary!H:H,MATCH(H:H,Summary!A:A,0)),2)</f>
        <v>0</v>
      </c>
      <c r="U341" s="47">
        <f>ROUND(INDEX(Summary!I:I,MATCH(H:H,Summary!A:A,0)),2)</f>
        <v>0.2</v>
      </c>
      <c r="V341" s="81">
        <f t="shared" si="104"/>
        <v>0</v>
      </c>
      <c r="W341" s="81">
        <f t="shared" si="104"/>
        <v>137391.07325463218</v>
      </c>
      <c r="X341" s="45">
        <f t="shared" si="105"/>
        <v>137391.07325463218</v>
      </c>
      <c r="Y341" s="45" t="s">
        <v>2752</v>
      </c>
      <c r="Z341" s="45" t="str">
        <f t="shared" si="106"/>
        <v>No</v>
      </c>
      <c r="AA341" s="45" t="str">
        <f t="shared" si="106"/>
        <v>Yes</v>
      </c>
      <c r="AB341" s="45" t="str">
        <f t="shared" si="107"/>
        <v>Yes</v>
      </c>
      <c r="AC341" s="82">
        <f t="shared" si="108"/>
        <v>0.2</v>
      </c>
      <c r="AD341" s="82">
        <f t="shared" si="108"/>
        <v>0.38</v>
      </c>
      <c r="AE341" s="45">
        <f t="shared" si="109"/>
        <v>247142.26619442223</v>
      </c>
      <c r="AF341" s="45">
        <f t="shared" si="109"/>
        <v>261043.03918380116</v>
      </c>
      <c r="AG341" s="45">
        <f t="shared" si="110"/>
        <v>508185.30537822342</v>
      </c>
      <c r="AH341" s="47">
        <f>IFERROR(ROUNDDOWN(INDEX('90% of ACR'!K:K,MATCH(H:H,'90% of ACR'!A:A,0))*IF(I341&gt;0,IF(O341&gt;0,$R$4*MAX(O341-V341,0),0),0)/I341,2),0)</f>
        <v>0</v>
      </c>
      <c r="AI341" s="82">
        <f>IFERROR(ROUNDDOWN(INDEX('90% of ACR'!R:R,MATCH(H:H,'90% of ACR'!A:A,0))*IF(J341&gt;0,IF(P341&gt;0,$R$4*MAX(P341-W341,0),0),0)/J341,2),0)</f>
        <v>0.33</v>
      </c>
      <c r="AJ341" s="45">
        <f t="shared" si="111"/>
        <v>0</v>
      </c>
      <c r="AK341" s="45">
        <f t="shared" si="111"/>
        <v>226695.27087014311</v>
      </c>
      <c r="AL341" s="47">
        <f t="shared" si="112"/>
        <v>0</v>
      </c>
      <c r="AM341" s="47">
        <f t="shared" si="112"/>
        <v>0.53</v>
      </c>
      <c r="AN341" s="83">
        <f>IFERROR(INDEX('Fee Calc'!P:P,MATCH(C341,'Fee Calc'!F:F,0)),0)</f>
        <v>364086.34412477532</v>
      </c>
      <c r="AO341" s="83">
        <f>IFERROR(INDEX('Fee Calc'!Q:Q,MATCH(C341,'Fee Calc'!F:F,0)),0)</f>
        <v>22340.214134726815</v>
      </c>
      <c r="AP341" s="83">
        <f t="shared" si="113"/>
        <v>386426.55825950211</v>
      </c>
      <c r="AQ341" s="70">
        <f t="shared" si="114"/>
        <v>165016.5060266717</v>
      </c>
      <c r="AR341" s="70">
        <f t="shared" si="115"/>
        <v>82508.253013335852</v>
      </c>
      <c r="AS341" s="70">
        <f t="shared" si="116"/>
        <v>82508.253013335852</v>
      </c>
    </row>
    <row r="342" spans="1:45">
      <c r="A342" s="104" t="s">
        <v>1561</v>
      </c>
      <c r="B342" s="124" t="s">
        <v>1561</v>
      </c>
      <c r="C342" s="31" t="s">
        <v>1596</v>
      </c>
      <c r="D342" s="125" t="s">
        <v>1596</v>
      </c>
      <c r="E342" s="119" t="s">
        <v>2609</v>
      </c>
      <c r="F342" s="100" t="s">
        <v>2279</v>
      </c>
      <c r="G342" s="100" t="s">
        <v>1365</v>
      </c>
      <c r="H342" s="43" t="str">
        <f t="shared" si="99"/>
        <v>Urban Tarrant</v>
      </c>
      <c r="I342" s="45">
        <f>INDEX('Fee Calc'!M:M,MATCH(C:C,'Fee Calc'!F:F,0))</f>
        <v>7329668.8801601445</v>
      </c>
      <c r="J342" s="45">
        <f>INDEX('Fee Calc'!L:L,MATCH(C:C,'Fee Calc'!F:F,0))</f>
        <v>2382220.1966643156</v>
      </c>
      <c r="K342" s="45">
        <f t="shared" si="100"/>
        <v>9711889.0768244602</v>
      </c>
      <c r="L342" s="45">
        <v>3482771.65</v>
      </c>
      <c r="M342" s="45">
        <v>925834.23999999999</v>
      </c>
      <c r="N342" s="45">
        <f t="shared" si="101"/>
        <v>4408605.8899999997</v>
      </c>
      <c r="O342" s="45">
        <v>15218845.884591423</v>
      </c>
      <c r="P342" s="45">
        <v>2537342.6154114986</v>
      </c>
      <c r="Q342" s="45">
        <f t="shared" si="102"/>
        <v>17756188.500002921</v>
      </c>
      <c r="R342" s="45" t="str">
        <f t="shared" si="103"/>
        <v>Yes</v>
      </c>
      <c r="S342" s="46" t="str">
        <f t="shared" si="103"/>
        <v>Yes</v>
      </c>
      <c r="T342" s="47">
        <f>ROUND(INDEX(Summary!H:H,MATCH(H:H,Summary!A:A,0)),2)</f>
        <v>0.74</v>
      </c>
      <c r="U342" s="47">
        <f>ROUND(INDEX(Summary!I:I,MATCH(H:H,Summary!A:A,0)),2)</f>
        <v>0.49</v>
      </c>
      <c r="V342" s="81">
        <f t="shared" si="104"/>
        <v>5423954.9713185066</v>
      </c>
      <c r="W342" s="81">
        <f t="shared" si="104"/>
        <v>1167287.8963655147</v>
      </c>
      <c r="X342" s="45">
        <f t="shared" si="105"/>
        <v>6591242.8676840216</v>
      </c>
      <c r="Y342" s="45" t="s">
        <v>2752</v>
      </c>
      <c r="Z342" s="45" t="str">
        <f t="shared" si="106"/>
        <v>Yes</v>
      </c>
      <c r="AA342" s="45" t="str">
        <f t="shared" si="106"/>
        <v>Yes</v>
      </c>
      <c r="AB342" s="45" t="str">
        <f t="shared" si="107"/>
        <v>Yes</v>
      </c>
      <c r="AC342" s="82">
        <f t="shared" si="108"/>
        <v>0.93</v>
      </c>
      <c r="AD342" s="82">
        <f t="shared" si="108"/>
        <v>0.4</v>
      </c>
      <c r="AE342" s="45">
        <f t="shared" si="109"/>
        <v>6816592.0585489348</v>
      </c>
      <c r="AF342" s="45">
        <f t="shared" si="109"/>
        <v>952888.07866572635</v>
      </c>
      <c r="AG342" s="45">
        <f t="shared" si="110"/>
        <v>7769480.1372146606</v>
      </c>
      <c r="AH342" s="47">
        <f>IFERROR(ROUNDDOWN(INDEX('90% of ACR'!K:K,MATCH(H:H,'90% of ACR'!A:A,0))*IF(I342&gt;0,IF(O342&gt;0,$R$4*MAX(O342-V342,0),0),0)/I342,2),0)</f>
        <v>0.93</v>
      </c>
      <c r="AI342" s="82">
        <f>IFERROR(ROUNDDOWN(INDEX('90% of ACR'!R:R,MATCH(H:H,'90% of ACR'!A:A,0))*IF(J342&gt;0,IF(P342&gt;0,$R$4*MAX(P342-W342,0),0),0)/J342,2),0)</f>
        <v>0.38</v>
      </c>
      <c r="AJ342" s="45">
        <f t="shared" si="111"/>
        <v>6816592.0585489348</v>
      </c>
      <c r="AK342" s="45">
        <f t="shared" si="111"/>
        <v>905243.67473243992</v>
      </c>
      <c r="AL342" s="47">
        <f t="shared" si="112"/>
        <v>1.67</v>
      </c>
      <c r="AM342" s="47">
        <f t="shared" si="112"/>
        <v>0.87</v>
      </c>
      <c r="AN342" s="83">
        <f>IFERROR(INDEX('Fee Calc'!P:P,MATCH(C342,'Fee Calc'!F:F,0)),0)</f>
        <v>14313078.600965396</v>
      </c>
      <c r="AO342" s="83">
        <f>IFERROR(INDEX('Fee Calc'!Q:Q,MATCH(C342,'Fee Calc'!F:F,0)),0)</f>
        <v>879785.23287422722</v>
      </c>
      <c r="AP342" s="83">
        <f t="shared" si="113"/>
        <v>15192863.833839623</v>
      </c>
      <c r="AQ342" s="70">
        <f t="shared" si="114"/>
        <v>6487839.0286922017</v>
      </c>
      <c r="AR342" s="70">
        <f t="shared" si="115"/>
        <v>3243919.5143461009</v>
      </c>
      <c r="AS342" s="70">
        <f t="shared" si="116"/>
        <v>3243919.5143461009</v>
      </c>
    </row>
    <row r="343" spans="1:45">
      <c r="A343" s="104" t="s">
        <v>956</v>
      </c>
      <c r="B343" s="124" t="s">
        <v>956</v>
      </c>
      <c r="C343" s="31" t="s">
        <v>957</v>
      </c>
      <c r="D343" s="125" t="s">
        <v>957</v>
      </c>
      <c r="E343" s="119" t="s">
        <v>2919</v>
      </c>
      <c r="F343" s="100" t="s">
        <v>2291</v>
      </c>
      <c r="G343" s="100" t="s">
        <v>227</v>
      </c>
      <c r="H343" s="43" t="str">
        <f t="shared" si="99"/>
        <v>Rural MRSA West</v>
      </c>
      <c r="I343" s="45">
        <f>INDEX('Fee Calc'!M:M,MATCH(C:C,'Fee Calc'!F:F,0))</f>
        <v>2735533.805177663</v>
      </c>
      <c r="J343" s="45">
        <f>INDEX('Fee Calc'!L:L,MATCH(C:C,'Fee Calc'!F:F,0))</f>
        <v>1360652.3847901062</v>
      </c>
      <c r="K343" s="45">
        <f t="shared" si="100"/>
        <v>4096186.1899677692</v>
      </c>
      <c r="L343" s="45">
        <v>-4676711.75</v>
      </c>
      <c r="M343" s="45">
        <v>846131.81</v>
      </c>
      <c r="N343" s="45">
        <f t="shared" si="101"/>
        <v>-3830579.94</v>
      </c>
      <c r="O343" s="45">
        <v>-5170491.5493706921</v>
      </c>
      <c r="P343" s="45">
        <v>394545.99423097464</v>
      </c>
      <c r="Q343" s="45">
        <f t="shared" si="102"/>
        <v>-4775945.5551397176</v>
      </c>
      <c r="R343" s="45" t="str">
        <f t="shared" si="103"/>
        <v>No</v>
      </c>
      <c r="S343" s="46" t="str">
        <f t="shared" si="103"/>
        <v>Yes</v>
      </c>
      <c r="T343" s="47">
        <f>ROUND(INDEX(Summary!H:H,MATCH(H:H,Summary!A:A,0)),2)</f>
        <v>0</v>
      </c>
      <c r="U343" s="47">
        <f>ROUND(INDEX(Summary!I:I,MATCH(H:H,Summary!A:A,0)),2)</f>
        <v>0.2</v>
      </c>
      <c r="V343" s="81">
        <f t="shared" si="104"/>
        <v>0</v>
      </c>
      <c r="W343" s="81">
        <f t="shared" si="104"/>
        <v>272130.47695802123</v>
      </c>
      <c r="X343" s="45">
        <f t="shared" si="105"/>
        <v>272130.47695802123</v>
      </c>
      <c r="Y343" s="45" t="s">
        <v>2752</v>
      </c>
      <c r="Z343" s="45" t="str">
        <f t="shared" si="106"/>
        <v>No</v>
      </c>
      <c r="AA343" s="45" t="str">
        <f t="shared" si="106"/>
        <v>Yes</v>
      </c>
      <c r="AB343" s="45" t="str">
        <f t="shared" si="107"/>
        <v>Yes</v>
      </c>
      <c r="AC343" s="82">
        <f t="shared" si="108"/>
        <v>0</v>
      </c>
      <c r="AD343" s="82">
        <f t="shared" si="108"/>
        <v>0.06</v>
      </c>
      <c r="AE343" s="45">
        <f t="shared" si="109"/>
        <v>0</v>
      </c>
      <c r="AF343" s="45">
        <f t="shared" si="109"/>
        <v>81639.143087406366</v>
      </c>
      <c r="AG343" s="45">
        <f t="shared" si="110"/>
        <v>81639.143087406366</v>
      </c>
      <c r="AH343" s="47">
        <f>IFERROR(ROUNDDOWN(INDEX('90% of ACR'!K:K,MATCH(H:H,'90% of ACR'!A:A,0))*IF(I343&gt;0,IF(O343&gt;0,$R$4*MAX(O343-V343,0),0),0)/I343,2),0)</f>
        <v>0</v>
      </c>
      <c r="AI343" s="82">
        <f>IFERROR(ROUNDDOWN(INDEX('90% of ACR'!R:R,MATCH(H:H,'90% of ACR'!A:A,0))*IF(J343&gt;0,IF(P343&gt;0,$R$4*MAX(P343-W343,0),0),0)/J343,2),0)</f>
        <v>0.05</v>
      </c>
      <c r="AJ343" s="45">
        <f t="shared" si="111"/>
        <v>0</v>
      </c>
      <c r="AK343" s="45">
        <f t="shared" si="111"/>
        <v>68032.619239505308</v>
      </c>
      <c r="AL343" s="47">
        <f t="shared" si="112"/>
        <v>0</v>
      </c>
      <c r="AM343" s="47">
        <f t="shared" si="112"/>
        <v>0.25</v>
      </c>
      <c r="AN343" s="83">
        <f>IFERROR(INDEX('Fee Calc'!P:P,MATCH(C343,'Fee Calc'!F:F,0)),0)</f>
        <v>340163.09619752655</v>
      </c>
      <c r="AO343" s="83">
        <f>IFERROR(INDEX('Fee Calc'!Q:Q,MATCH(C343,'Fee Calc'!F:F,0)),0)</f>
        <v>20950.418214025158</v>
      </c>
      <c r="AP343" s="83">
        <f t="shared" si="113"/>
        <v>361113.5144115517</v>
      </c>
      <c r="AQ343" s="70">
        <f t="shared" si="114"/>
        <v>154207.02628619375</v>
      </c>
      <c r="AR343" s="70">
        <f t="shared" si="115"/>
        <v>77103.513143096876</v>
      </c>
      <c r="AS343" s="70">
        <f t="shared" si="116"/>
        <v>77103.513143096876</v>
      </c>
    </row>
    <row r="344" spans="1:45">
      <c r="A344" s="104" t="s">
        <v>831</v>
      </c>
      <c r="B344" s="124" t="s">
        <v>831</v>
      </c>
      <c r="C344" s="31" t="s">
        <v>832</v>
      </c>
      <c r="D344" s="125" t="s">
        <v>832</v>
      </c>
      <c r="E344" s="119" t="s">
        <v>2692</v>
      </c>
      <c r="F344" s="100" t="s">
        <v>2291</v>
      </c>
      <c r="G344" s="100" t="s">
        <v>487</v>
      </c>
      <c r="H344" s="43" t="str">
        <f t="shared" si="99"/>
        <v>Rural Bexar</v>
      </c>
      <c r="I344" s="45">
        <f>INDEX('Fee Calc'!M:M,MATCH(C:C,'Fee Calc'!F:F,0))</f>
        <v>602348.94040983391</v>
      </c>
      <c r="J344" s="45">
        <f>INDEX('Fee Calc'!L:L,MATCH(C:C,'Fee Calc'!F:F,0))</f>
        <v>2148393.3249923992</v>
      </c>
      <c r="K344" s="45">
        <f t="shared" si="100"/>
        <v>2750742.2654022332</v>
      </c>
      <c r="L344" s="45">
        <v>481758.63</v>
      </c>
      <c r="M344" s="45">
        <v>-142575.82999999999</v>
      </c>
      <c r="N344" s="45">
        <f t="shared" si="101"/>
        <v>339182.80000000005</v>
      </c>
      <c r="O344" s="45">
        <v>378916.65338579821</v>
      </c>
      <c r="P344" s="45">
        <v>421257.67677803553</v>
      </c>
      <c r="Q344" s="45">
        <f t="shared" si="102"/>
        <v>800174.33016383369</v>
      </c>
      <c r="R344" s="45" t="str">
        <f t="shared" si="103"/>
        <v>Yes</v>
      </c>
      <c r="S344" s="46" t="str">
        <f t="shared" si="103"/>
        <v>Yes</v>
      </c>
      <c r="T344" s="47">
        <f>ROUND(INDEX(Summary!H:H,MATCH(H:H,Summary!A:A,0)),2)</f>
        <v>0.43</v>
      </c>
      <c r="U344" s="47">
        <f>ROUND(INDEX(Summary!I:I,MATCH(H:H,Summary!A:A,0)),2)</f>
        <v>0.09</v>
      </c>
      <c r="V344" s="81">
        <f t="shared" si="104"/>
        <v>259010.04437622859</v>
      </c>
      <c r="W344" s="81">
        <f t="shared" si="104"/>
        <v>193355.39924931593</v>
      </c>
      <c r="X344" s="45">
        <f t="shared" si="105"/>
        <v>452365.44362554455</v>
      </c>
      <c r="Y344" s="45" t="s">
        <v>2752</v>
      </c>
      <c r="Z344" s="45" t="str">
        <f t="shared" si="106"/>
        <v>No</v>
      </c>
      <c r="AA344" s="45" t="str">
        <f t="shared" si="106"/>
        <v>Yes</v>
      </c>
      <c r="AB344" s="45" t="str">
        <f t="shared" si="107"/>
        <v>Yes</v>
      </c>
      <c r="AC344" s="82">
        <f t="shared" si="108"/>
        <v>0.14000000000000001</v>
      </c>
      <c r="AD344" s="82">
        <f t="shared" si="108"/>
        <v>7.0000000000000007E-2</v>
      </c>
      <c r="AE344" s="45">
        <f t="shared" si="109"/>
        <v>84328.851657376756</v>
      </c>
      <c r="AF344" s="45">
        <f t="shared" si="109"/>
        <v>150387.53274946797</v>
      </c>
      <c r="AG344" s="45">
        <f t="shared" si="110"/>
        <v>234716.38440684474</v>
      </c>
      <c r="AH344" s="47">
        <f>IFERROR(ROUNDDOWN(INDEX('90% of ACR'!K:K,MATCH(H:H,'90% of ACR'!A:A,0))*IF(I344&gt;0,IF(O344&gt;0,$R$4*MAX(O344-V344,0),0),0)/I344,2),0)</f>
        <v>0</v>
      </c>
      <c r="AI344" s="82">
        <f>IFERROR(ROUNDDOWN(INDEX('90% of ACR'!R:R,MATCH(H:H,'90% of ACR'!A:A,0))*IF(J344&gt;0,IF(P344&gt;0,$R$4*MAX(P344-W344,0),0),0)/J344,2),0)</f>
        <v>7.0000000000000007E-2</v>
      </c>
      <c r="AJ344" s="45">
        <f t="shared" si="111"/>
        <v>0</v>
      </c>
      <c r="AK344" s="45">
        <f t="shared" si="111"/>
        <v>150387.53274946797</v>
      </c>
      <c r="AL344" s="47">
        <f t="shared" si="112"/>
        <v>0.43</v>
      </c>
      <c r="AM344" s="47">
        <f t="shared" si="112"/>
        <v>0.16</v>
      </c>
      <c r="AN344" s="83">
        <f>IFERROR(INDEX('Fee Calc'!P:P,MATCH(C344,'Fee Calc'!F:F,0)),0)</f>
        <v>602752.97637501243</v>
      </c>
      <c r="AO344" s="83">
        <f>IFERROR(INDEX('Fee Calc'!Q:Q,MATCH(C344,'Fee Calc'!F:F,0)),0)</f>
        <v>36930.445124439619</v>
      </c>
      <c r="AP344" s="83">
        <f t="shared" si="113"/>
        <v>639683.42149945209</v>
      </c>
      <c r="AQ344" s="70">
        <f t="shared" si="114"/>
        <v>273165.29084975406</v>
      </c>
      <c r="AR344" s="70">
        <f t="shared" si="115"/>
        <v>136582.64542487703</v>
      </c>
      <c r="AS344" s="70">
        <f t="shared" si="116"/>
        <v>136582.64542487703</v>
      </c>
    </row>
    <row r="345" spans="1:45">
      <c r="A345" s="104" t="s">
        <v>1098</v>
      </c>
      <c r="B345" s="124" t="s">
        <v>1098</v>
      </c>
      <c r="C345" s="31" t="s">
        <v>1099</v>
      </c>
      <c r="D345" s="125" t="s">
        <v>1099</v>
      </c>
      <c r="E345" s="119" t="s">
        <v>2610</v>
      </c>
      <c r="F345" s="100" t="s">
        <v>2279</v>
      </c>
      <c r="G345" s="100" t="s">
        <v>1365</v>
      </c>
      <c r="H345" s="43" t="str">
        <f t="shared" si="99"/>
        <v>Urban Tarrant</v>
      </c>
      <c r="I345" s="45">
        <f>INDEX('Fee Calc'!M:M,MATCH(C:C,'Fee Calc'!F:F,0))</f>
        <v>1972407.9365148633</v>
      </c>
      <c r="J345" s="45">
        <f>INDEX('Fee Calc'!L:L,MATCH(C:C,'Fee Calc'!F:F,0))</f>
        <v>2103964.9690721226</v>
      </c>
      <c r="K345" s="45">
        <f t="shared" si="100"/>
        <v>4076372.9055869859</v>
      </c>
      <c r="L345" s="45">
        <v>1242772.68</v>
      </c>
      <c r="M345" s="45">
        <v>295823.82</v>
      </c>
      <c r="N345" s="45">
        <f t="shared" si="101"/>
        <v>1538596.5</v>
      </c>
      <c r="O345" s="45">
        <v>5253329.0654495088</v>
      </c>
      <c r="P345" s="45">
        <v>2254491.3634493919</v>
      </c>
      <c r="Q345" s="45">
        <f t="shared" si="102"/>
        <v>7507820.4288989007</v>
      </c>
      <c r="R345" s="45" t="str">
        <f t="shared" si="103"/>
        <v>Yes</v>
      </c>
      <c r="S345" s="46" t="str">
        <f t="shared" si="103"/>
        <v>Yes</v>
      </c>
      <c r="T345" s="47">
        <f>ROUND(INDEX(Summary!H:H,MATCH(H:H,Summary!A:A,0)),2)</f>
        <v>0.74</v>
      </c>
      <c r="U345" s="47">
        <f>ROUND(INDEX(Summary!I:I,MATCH(H:H,Summary!A:A,0)),2)</f>
        <v>0.49</v>
      </c>
      <c r="V345" s="81">
        <f t="shared" si="104"/>
        <v>1459581.8730209989</v>
      </c>
      <c r="W345" s="81">
        <f t="shared" si="104"/>
        <v>1030942.83484534</v>
      </c>
      <c r="X345" s="45">
        <f t="shared" si="105"/>
        <v>2490524.707866339</v>
      </c>
      <c r="Y345" s="45" t="s">
        <v>2752</v>
      </c>
      <c r="Z345" s="45" t="str">
        <f t="shared" si="106"/>
        <v>Yes</v>
      </c>
      <c r="AA345" s="45" t="str">
        <f t="shared" si="106"/>
        <v>Yes</v>
      </c>
      <c r="AB345" s="45" t="str">
        <f t="shared" si="107"/>
        <v>Yes</v>
      </c>
      <c r="AC345" s="82">
        <f t="shared" si="108"/>
        <v>1.34</v>
      </c>
      <c r="AD345" s="82">
        <f t="shared" si="108"/>
        <v>0.41</v>
      </c>
      <c r="AE345" s="45">
        <f t="shared" si="109"/>
        <v>2643026.6349299168</v>
      </c>
      <c r="AF345" s="45">
        <f t="shared" si="109"/>
        <v>862625.63731957017</v>
      </c>
      <c r="AG345" s="45">
        <f t="shared" si="110"/>
        <v>3505652.2722494872</v>
      </c>
      <c r="AH345" s="47">
        <f>IFERROR(ROUNDDOWN(INDEX('90% of ACR'!K:K,MATCH(H:H,'90% of ACR'!A:A,0))*IF(I345&gt;0,IF(O345&gt;0,$R$4*MAX(O345-V345,0),0),0)/I345,2),0)</f>
        <v>1.33</v>
      </c>
      <c r="AI345" s="82">
        <f>IFERROR(ROUNDDOWN(INDEX('90% of ACR'!R:R,MATCH(H:H,'90% of ACR'!A:A,0))*IF(J345&gt;0,IF(P345&gt;0,$R$4*MAX(P345-W345,0),0),0)/J345,2),0)</f>
        <v>0.39</v>
      </c>
      <c r="AJ345" s="45">
        <f t="shared" si="111"/>
        <v>2623302.5555647681</v>
      </c>
      <c r="AK345" s="45">
        <f t="shared" si="111"/>
        <v>820546.33793812781</v>
      </c>
      <c r="AL345" s="47">
        <f t="shared" si="112"/>
        <v>2.0700000000000003</v>
      </c>
      <c r="AM345" s="47">
        <f t="shared" si="112"/>
        <v>0.88</v>
      </c>
      <c r="AN345" s="83">
        <f>IFERROR(INDEX('Fee Calc'!P:P,MATCH(C345,'Fee Calc'!F:F,0)),0)</f>
        <v>5934373.6013692357</v>
      </c>
      <c r="AO345" s="83">
        <f>IFERROR(INDEX('Fee Calc'!Q:Q,MATCH(C345,'Fee Calc'!F:F,0)),0)</f>
        <v>366770.1813643846</v>
      </c>
      <c r="AP345" s="83">
        <f t="shared" si="113"/>
        <v>6301143.7827336201</v>
      </c>
      <c r="AQ345" s="70">
        <f t="shared" si="114"/>
        <v>2690790.0318283034</v>
      </c>
      <c r="AR345" s="70">
        <f t="shared" si="115"/>
        <v>1345395.0159141517</v>
      </c>
      <c r="AS345" s="70">
        <f t="shared" si="116"/>
        <v>1345395.0159141517</v>
      </c>
    </row>
    <row r="346" spans="1:45">
      <c r="A346" s="104" t="s">
        <v>795</v>
      </c>
      <c r="B346" s="124" t="s">
        <v>795</v>
      </c>
      <c r="C346" s="31" t="s">
        <v>796</v>
      </c>
      <c r="D346" s="125" t="s">
        <v>796</v>
      </c>
      <c r="E346" s="119" t="s">
        <v>2920</v>
      </c>
      <c r="F346" s="100" t="s">
        <v>2291</v>
      </c>
      <c r="G346" s="100" t="s">
        <v>1486</v>
      </c>
      <c r="H346" s="43" t="str">
        <f t="shared" si="99"/>
        <v>Rural MRSA Central</v>
      </c>
      <c r="I346" s="45">
        <f>INDEX('Fee Calc'!M:M,MATCH(C:C,'Fee Calc'!F:F,0))</f>
        <v>24747.429160761065</v>
      </c>
      <c r="J346" s="45">
        <f>INDEX('Fee Calc'!L:L,MATCH(C:C,'Fee Calc'!F:F,0))</f>
        <v>276011.74379858642</v>
      </c>
      <c r="K346" s="45">
        <f t="shared" si="100"/>
        <v>300759.17295934749</v>
      </c>
      <c r="L346" s="45">
        <v>-485.88</v>
      </c>
      <c r="M346" s="45">
        <v>-13661.7</v>
      </c>
      <c r="N346" s="45">
        <f t="shared" si="101"/>
        <v>-14147.58</v>
      </c>
      <c r="O346" s="45">
        <v>-2154.6359438541331</v>
      </c>
      <c r="P346" s="45">
        <v>24326.547940094155</v>
      </c>
      <c r="Q346" s="45">
        <f t="shared" si="102"/>
        <v>22171.911996240022</v>
      </c>
      <c r="R346" s="45" t="str">
        <f t="shared" si="103"/>
        <v>No</v>
      </c>
      <c r="S346" s="46" t="str">
        <f t="shared" si="103"/>
        <v>Yes</v>
      </c>
      <c r="T346" s="47">
        <f>ROUND(INDEX(Summary!H:H,MATCH(H:H,Summary!A:A,0)),2)</f>
        <v>0.09</v>
      </c>
      <c r="U346" s="47">
        <f>ROUND(INDEX(Summary!I:I,MATCH(H:H,Summary!A:A,0)),2)</f>
        <v>0.09</v>
      </c>
      <c r="V346" s="81">
        <f t="shared" si="104"/>
        <v>2227.2686244684955</v>
      </c>
      <c r="W346" s="81">
        <f t="shared" si="104"/>
        <v>24841.056941872775</v>
      </c>
      <c r="X346" s="45">
        <f t="shared" si="105"/>
        <v>27068.325566341271</v>
      </c>
      <c r="Y346" s="45" t="s">
        <v>2752</v>
      </c>
      <c r="Z346" s="45" t="str">
        <f t="shared" si="106"/>
        <v>No</v>
      </c>
      <c r="AA346" s="45" t="str">
        <f t="shared" si="106"/>
        <v>No</v>
      </c>
      <c r="AB346" s="45" t="str">
        <f t="shared" si="107"/>
        <v>No</v>
      </c>
      <c r="AC346" s="82">
        <f t="shared" si="108"/>
        <v>0</v>
      </c>
      <c r="AD346" s="82">
        <f t="shared" si="108"/>
        <v>0</v>
      </c>
      <c r="AE346" s="45">
        <f t="shared" si="109"/>
        <v>0</v>
      </c>
      <c r="AF346" s="45">
        <f t="shared" si="109"/>
        <v>0</v>
      </c>
      <c r="AG346" s="45">
        <f t="shared" si="110"/>
        <v>0</v>
      </c>
      <c r="AH346" s="47">
        <f>IFERROR(ROUNDDOWN(INDEX('90% of ACR'!K:K,MATCH(H:H,'90% of ACR'!A:A,0))*IF(I346&gt;0,IF(O346&gt;0,$R$4*MAX(O346-V346,0),0),0)/I346,2),0)</f>
        <v>0</v>
      </c>
      <c r="AI346" s="82">
        <f>IFERROR(ROUNDDOWN(INDEX('90% of ACR'!R:R,MATCH(H:H,'90% of ACR'!A:A,0))*IF(J346&gt;0,IF(P346&gt;0,$R$4*MAX(P346-W346,0),0),0)/J346,2),0)</f>
        <v>0</v>
      </c>
      <c r="AJ346" s="45">
        <f t="shared" si="111"/>
        <v>0</v>
      </c>
      <c r="AK346" s="45">
        <f t="shared" si="111"/>
        <v>0</v>
      </c>
      <c r="AL346" s="47">
        <f t="shared" si="112"/>
        <v>0.09</v>
      </c>
      <c r="AM346" s="47">
        <f t="shared" si="112"/>
        <v>0.09</v>
      </c>
      <c r="AN346" s="83">
        <f>IFERROR(INDEX('Fee Calc'!P:P,MATCH(C346,'Fee Calc'!F:F,0)),0)</f>
        <v>27068.325566341271</v>
      </c>
      <c r="AO346" s="83">
        <f>IFERROR(INDEX('Fee Calc'!Q:Q,MATCH(C346,'Fee Calc'!F:F,0)),0)</f>
        <v>1666.2617392096804</v>
      </c>
      <c r="AP346" s="83">
        <f t="shared" si="113"/>
        <v>28734.587305550951</v>
      </c>
      <c r="AQ346" s="70">
        <f t="shared" si="114"/>
        <v>12270.588286264034</v>
      </c>
      <c r="AR346" s="70">
        <f t="shared" si="115"/>
        <v>6135.2941431320169</v>
      </c>
      <c r="AS346" s="70">
        <f t="shared" si="116"/>
        <v>6135.2941431320169</v>
      </c>
    </row>
    <row r="347" spans="1:45">
      <c r="A347" s="104" t="s">
        <v>425</v>
      </c>
      <c r="B347" s="124" t="s">
        <v>425</v>
      </c>
      <c r="C347" s="31" t="s">
        <v>426</v>
      </c>
      <c r="D347" s="125" t="s">
        <v>426</v>
      </c>
      <c r="E347" s="119" t="s">
        <v>2596</v>
      </c>
      <c r="F347" s="100" t="s">
        <v>1547</v>
      </c>
      <c r="G347" s="100" t="s">
        <v>300</v>
      </c>
      <c r="H347" s="43" t="str">
        <f t="shared" si="99"/>
        <v>Children's Harris</v>
      </c>
      <c r="I347" s="45">
        <f>INDEX('Fee Calc'!M:M,MATCH(C:C,'Fee Calc'!F:F,0))</f>
        <v>328133807.23275727</v>
      </c>
      <c r="J347" s="45">
        <f>INDEX('Fee Calc'!L:L,MATCH(C:C,'Fee Calc'!F:F,0))</f>
        <v>287503168.77779323</v>
      </c>
      <c r="K347" s="45">
        <f t="shared" si="100"/>
        <v>615636976.0105505</v>
      </c>
      <c r="L347" s="45">
        <v>367468117.89999998</v>
      </c>
      <c r="M347" s="45">
        <v>9820612.7699999996</v>
      </c>
      <c r="N347" s="45">
        <f t="shared" si="101"/>
        <v>377288730.66999996</v>
      </c>
      <c r="O347" s="45">
        <v>287093860.6290319</v>
      </c>
      <c r="P347" s="45">
        <v>132011912.56236011</v>
      </c>
      <c r="Q347" s="45">
        <f t="shared" si="102"/>
        <v>419105773.191392</v>
      </c>
      <c r="R347" s="45" t="str">
        <f t="shared" si="103"/>
        <v>Yes</v>
      </c>
      <c r="S347" s="46" t="str">
        <f t="shared" si="103"/>
        <v>Yes</v>
      </c>
      <c r="T347" s="47">
        <f>ROUND(INDEX(Summary!H:H,MATCH(H:H,Summary!A:A,0)),2)</f>
        <v>1.1200000000000001</v>
      </c>
      <c r="U347" s="47">
        <f>ROUND(INDEX(Summary!I:I,MATCH(H:H,Summary!A:A,0)),2)</f>
        <v>0.03</v>
      </c>
      <c r="V347" s="81">
        <f t="shared" si="104"/>
        <v>367509864.10068816</v>
      </c>
      <c r="W347" s="81">
        <f t="shared" si="104"/>
        <v>8625095.0633337963</v>
      </c>
      <c r="X347" s="45">
        <f t="shared" si="105"/>
        <v>376134959.16402197</v>
      </c>
      <c r="Y347" s="45" t="s">
        <v>2752</v>
      </c>
      <c r="Z347" s="45" t="str">
        <f t="shared" si="106"/>
        <v>No</v>
      </c>
      <c r="AA347" s="45" t="str">
        <f t="shared" si="106"/>
        <v>Yes</v>
      </c>
      <c r="AB347" s="45" t="str">
        <f t="shared" si="107"/>
        <v>Yes</v>
      </c>
      <c r="AC347" s="82">
        <f t="shared" si="108"/>
        <v>0</v>
      </c>
      <c r="AD347" s="82">
        <f t="shared" si="108"/>
        <v>0.3</v>
      </c>
      <c r="AE347" s="45">
        <f t="shared" si="109"/>
        <v>0</v>
      </c>
      <c r="AF347" s="45">
        <f t="shared" si="109"/>
        <v>86250950.63333796</v>
      </c>
      <c r="AG347" s="45">
        <f t="shared" si="110"/>
        <v>86250950.63333796</v>
      </c>
      <c r="AH347" s="47">
        <f>IFERROR(ROUNDDOWN(INDEX('90% of ACR'!K:K,MATCH(H:H,'90% of ACR'!A:A,0))*IF(I347&gt;0,IF(O347&gt;0,$R$4*MAX(O347-V347,0),0),0)/I347,2),0)</f>
        <v>0</v>
      </c>
      <c r="AI347" s="82">
        <f>IFERROR(ROUNDDOWN(INDEX('90% of ACR'!R:R,MATCH(H:H,'90% of ACR'!A:A,0))*IF(J347&gt;0,IF(P347&gt;0,$R$4*MAX(P347-W347,0),0),0)/J347,2),0)</f>
        <v>0.28999999999999998</v>
      </c>
      <c r="AJ347" s="45">
        <f t="shared" si="111"/>
        <v>0</v>
      </c>
      <c r="AK347" s="45">
        <f t="shared" si="111"/>
        <v>83375918.945560023</v>
      </c>
      <c r="AL347" s="47">
        <f t="shared" si="112"/>
        <v>1.1200000000000001</v>
      </c>
      <c r="AM347" s="47">
        <f t="shared" si="112"/>
        <v>0.31999999999999995</v>
      </c>
      <c r="AN347" s="83">
        <f>IFERROR(INDEX('Fee Calc'!P:P,MATCH(C347,'Fee Calc'!F:F,0)),0)</f>
        <v>459510878.10958195</v>
      </c>
      <c r="AO347" s="83">
        <f>IFERROR(INDEX('Fee Calc'!Q:Q,MATCH(C347,'Fee Calc'!F:F,0)),0)</f>
        <v>28047511.544898424</v>
      </c>
      <c r="AP347" s="83">
        <f t="shared" si="113"/>
        <v>487558389.6544804</v>
      </c>
      <c r="AQ347" s="70">
        <f t="shared" si="114"/>
        <v>208203034.25093207</v>
      </c>
      <c r="AR347" s="70">
        <f t="shared" si="115"/>
        <v>104101517.12546603</v>
      </c>
      <c r="AS347" s="70">
        <f t="shared" si="116"/>
        <v>104101517.12546603</v>
      </c>
    </row>
    <row r="348" spans="1:45">
      <c r="A348" s="104" t="s">
        <v>710</v>
      </c>
      <c r="B348" s="124" t="s">
        <v>710</v>
      </c>
      <c r="C348" s="31" t="s">
        <v>711</v>
      </c>
      <c r="D348" s="125" t="s">
        <v>711</v>
      </c>
      <c r="E348" s="119" t="s">
        <v>2587</v>
      </c>
      <c r="F348" s="100" t="s">
        <v>2291</v>
      </c>
      <c r="G348" s="100" t="s">
        <v>227</v>
      </c>
      <c r="H348" s="43" t="str">
        <f t="shared" si="99"/>
        <v>Rural MRSA West</v>
      </c>
      <c r="I348" s="45">
        <f>INDEX('Fee Calc'!M:M,MATCH(C:C,'Fee Calc'!F:F,0))</f>
        <v>24777.731471168456</v>
      </c>
      <c r="J348" s="45">
        <f>INDEX('Fee Calc'!L:L,MATCH(C:C,'Fee Calc'!F:F,0))</f>
        <v>167848.19145830738</v>
      </c>
      <c r="K348" s="45">
        <f t="shared" si="100"/>
        <v>192625.92292947584</v>
      </c>
      <c r="L348" s="45">
        <v>14485.65</v>
      </c>
      <c r="M348" s="45">
        <v>7919.68</v>
      </c>
      <c r="N348" s="45">
        <f t="shared" si="101"/>
        <v>22405.33</v>
      </c>
      <c r="O348" s="45">
        <v>713.32168793856545</v>
      </c>
      <c r="P348" s="45">
        <v>47922.996604029293</v>
      </c>
      <c r="Q348" s="45">
        <f t="shared" si="102"/>
        <v>48636.318291967858</v>
      </c>
      <c r="R348" s="45" t="str">
        <f t="shared" si="103"/>
        <v>Yes</v>
      </c>
      <c r="S348" s="46" t="str">
        <f t="shared" si="103"/>
        <v>Yes</v>
      </c>
      <c r="T348" s="47">
        <f>ROUND(INDEX(Summary!H:H,MATCH(H:H,Summary!A:A,0)),2)</f>
        <v>0</v>
      </c>
      <c r="U348" s="47">
        <f>ROUND(INDEX(Summary!I:I,MATCH(H:H,Summary!A:A,0)),2)</f>
        <v>0.2</v>
      </c>
      <c r="V348" s="81">
        <f t="shared" si="104"/>
        <v>0</v>
      </c>
      <c r="W348" s="81">
        <f t="shared" si="104"/>
        <v>33569.638291661475</v>
      </c>
      <c r="X348" s="45">
        <f t="shared" si="105"/>
        <v>33569.638291661475</v>
      </c>
      <c r="Y348" s="45" t="s">
        <v>2752</v>
      </c>
      <c r="Z348" s="45" t="str">
        <f t="shared" si="106"/>
        <v>No</v>
      </c>
      <c r="AA348" s="45" t="str">
        <f t="shared" si="106"/>
        <v>Yes</v>
      </c>
      <c r="AB348" s="45" t="str">
        <f t="shared" si="107"/>
        <v>Yes</v>
      </c>
      <c r="AC348" s="82">
        <f t="shared" si="108"/>
        <v>0.02</v>
      </c>
      <c r="AD348" s="82">
        <f t="shared" si="108"/>
        <v>0.06</v>
      </c>
      <c r="AE348" s="45">
        <f t="shared" si="109"/>
        <v>495.55462942336914</v>
      </c>
      <c r="AF348" s="45">
        <f t="shared" si="109"/>
        <v>10070.891487498442</v>
      </c>
      <c r="AG348" s="45">
        <f t="shared" si="110"/>
        <v>10566.446116921812</v>
      </c>
      <c r="AH348" s="47">
        <f>IFERROR(ROUNDDOWN(INDEX('90% of ACR'!K:K,MATCH(H:H,'90% of ACR'!A:A,0))*IF(I348&gt;0,IF(O348&gt;0,$R$4*MAX(O348-V348,0),0),0)/I348,2),0)</f>
        <v>0</v>
      </c>
      <c r="AI348" s="82">
        <f>IFERROR(ROUNDDOWN(INDEX('90% of ACR'!R:R,MATCH(H:H,'90% of ACR'!A:A,0))*IF(J348&gt;0,IF(P348&gt;0,$R$4*MAX(P348-W348,0),0),0)/J348,2),0)</f>
        <v>0.05</v>
      </c>
      <c r="AJ348" s="45">
        <f t="shared" si="111"/>
        <v>0</v>
      </c>
      <c r="AK348" s="45">
        <f t="shared" si="111"/>
        <v>8392.4095729153687</v>
      </c>
      <c r="AL348" s="47">
        <f t="shared" si="112"/>
        <v>0</v>
      </c>
      <c r="AM348" s="47">
        <f t="shared" si="112"/>
        <v>0.25</v>
      </c>
      <c r="AN348" s="83">
        <f>IFERROR(INDEX('Fee Calc'!P:P,MATCH(C348,'Fee Calc'!F:F,0)),0)</f>
        <v>41962.047864576845</v>
      </c>
      <c r="AO348" s="83">
        <f>IFERROR(INDEX('Fee Calc'!Q:Q,MATCH(C348,'Fee Calc'!F:F,0)),0)</f>
        <v>2588.0201794163358</v>
      </c>
      <c r="AP348" s="83">
        <f t="shared" si="113"/>
        <v>44550.068043993182</v>
      </c>
      <c r="AQ348" s="70">
        <f t="shared" si="114"/>
        <v>19024.304656962497</v>
      </c>
      <c r="AR348" s="70">
        <f t="shared" si="115"/>
        <v>9512.1523284812483</v>
      </c>
      <c r="AS348" s="70">
        <f t="shared" si="116"/>
        <v>9512.1523284812483</v>
      </c>
    </row>
    <row r="349" spans="1:45">
      <c r="A349" s="104" t="s">
        <v>753</v>
      </c>
      <c r="B349" s="124" t="s">
        <v>753</v>
      </c>
      <c r="C349" s="31" t="s">
        <v>754</v>
      </c>
      <c r="D349" s="125" t="s">
        <v>754</v>
      </c>
      <c r="E349" s="119" t="s">
        <v>2921</v>
      </c>
      <c r="F349" s="100" t="s">
        <v>2291</v>
      </c>
      <c r="G349" s="100" t="s">
        <v>1486</v>
      </c>
      <c r="H349" s="43" t="str">
        <f t="shared" si="99"/>
        <v>Rural MRSA Central</v>
      </c>
      <c r="I349" s="45">
        <f>INDEX('Fee Calc'!M:M,MATCH(C:C,'Fee Calc'!F:F,0))</f>
        <v>2612282.9074078249</v>
      </c>
      <c r="J349" s="45">
        <f>INDEX('Fee Calc'!L:L,MATCH(C:C,'Fee Calc'!F:F,0))</f>
        <v>730062.97415581811</v>
      </c>
      <c r="K349" s="45">
        <f t="shared" si="100"/>
        <v>3342345.881563643</v>
      </c>
      <c r="L349" s="45">
        <v>-358354.42</v>
      </c>
      <c r="M349" s="45">
        <v>224955.19</v>
      </c>
      <c r="N349" s="45">
        <f t="shared" si="101"/>
        <v>-133399.22999999998</v>
      </c>
      <c r="O349" s="45">
        <v>1270041.5085739328</v>
      </c>
      <c r="P349" s="45">
        <v>694022.77286313614</v>
      </c>
      <c r="Q349" s="45">
        <f t="shared" si="102"/>
        <v>1964064.2814370689</v>
      </c>
      <c r="R349" s="45" t="str">
        <f t="shared" si="103"/>
        <v>Yes</v>
      </c>
      <c r="S349" s="46" t="str">
        <f t="shared" si="103"/>
        <v>Yes</v>
      </c>
      <c r="T349" s="47">
        <f>ROUND(INDEX(Summary!H:H,MATCH(H:H,Summary!A:A,0)),2)</f>
        <v>0.09</v>
      </c>
      <c r="U349" s="47">
        <f>ROUND(INDEX(Summary!I:I,MATCH(H:H,Summary!A:A,0)),2)</f>
        <v>0.09</v>
      </c>
      <c r="V349" s="81">
        <f t="shared" si="104"/>
        <v>235105.46166670424</v>
      </c>
      <c r="W349" s="81">
        <f t="shared" si="104"/>
        <v>65705.667674023629</v>
      </c>
      <c r="X349" s="45">
        <f t="shared" si="105"/>
        <v>300811.12934072787</v>
      </c>
      <c r="Y349" s="45" t="s">
        <v>2752</v>
      </c>
      <c r="Z349" s="45" t="str">
        <f t="shared" si="106"/>
        <v>Yes</v>
      </c>
      <c r="AA349" s="45" t="str">
        <f t="shared" si="106"/>
        <v>Yes</v>
      </c>
      <c r="AB349" s="45" t="str">
        <f t="shared" si="107"/>
        <v>Yes</v>
      </c>
      <c r="AC349" s="82">
        <f t="shared" si="108"/>
        <v>0.28000000000000003</v>
      </c>
      <c r="AD349" s="82">
        <f t="shared" si="108"/>
        <v>0.6</v>
      </c>
      <c r="AE349" s="45">
        <f t="shared" si="109"/>
        <v>731439.21407419106</v>
      </c>
      <c r="AF349" s="45">
        <f t="shared" si="109"/>
        <v>438037.78449349088</v>
      </c>
      <c r="AG349" s="45">
        <f t="shared" si="110"/>
        <v>1169476.998567682</v>
      </c>
      <c r="AH349" s="47">
        <f>IFERROR(ROUNDDOWN(INDEX('90% of ACR'!K:K,MATCH(H:H,'90% of ACR'!A:A,0))*IF(I349&gt;0,IF(O349&gt;0,$R$4*MAX(O349-V349,0),0),0)/I349,2),0)</f>
        <v>0.14000000000000001</v>
      </c>
      <c r="AI349" s="82">
        <f>IFERROR(ROUNDDOWN(INDEX('90% of ACR'!R:R,MATCH(H:H,'90% of ACR'!A:A,0))*IF(J349&gt;0,IF(P349&gt;0,$R$4*MAX(P349-W349,0),0),0)/J349,2),0)</f>
        <v>0.59</v>
      </c>
      <c r="AJ349" s="45">
        <f t="shared" si="111"/>
        <v>365719.60703709553</v>
      </c>
      <c r="AK349" s="45">
        <f t="shared" si="111"/>
        <v>430737.15475193266</v>
      </c>
      <c r="AL349" s="47">
        <f t="shared" si="112"/>
        <v>0.23</v>
      </c>
      <c r="AM349" s="47">
        <f t="shared" si="112"/>
        <v>0.67999999999999994</v>
      </c>
      <c r="AN349" s="83">
        <f>IFERROR(INDEX('Fee Calc'!P:P,MATCH(C349,'Fee Calc'!F:F,0)),0)</f>
        <v>1097267.8911297559</v>
      </c>
      <c r="AO349" s="83">
        <f>IFERROR(INDEX('Fee Calc'!Q:Q,MATCH(C349,'Fee Calc'!F:F,0)),0)</f>
        <v>67391.552903453645</v>
      </c>
      <c r="AP349" s="83">
        <f t="shared" si="113"/>
        <v>1164659.4440332095</v>
      </c>
      <c r="AQ349" s="70">
        <f t="shared" si="114"/>
        <v>497346.8517043895</v>
      </c>
      <c r="AR349" s="70">
        <f t="shared" si="115"/>
        <v>248673.42585219475</v>
      </c>
      <c r="AS349" s="70">
        <f t="shared" si="116"/>
        <v>248673.42585219475</v>
      </c>
    </row>
    <row r="350" spans="1:45">
      <c r="A350" s="104" t="s">
        <v>1477</v>
      </c>
      <c r="B350" s="124" t="s">
        <v>2701</v>
      </c>
      <c r="C350" s="31" t="s">
        <v>1478</v>
      </c>
      <c r="D350" s="125" t="s">
        <v>1478</v>
      </c>
      <c r="E350" s="119" t="s">
        <v>2718</v>
      </c>
      <c r="F350" s="100" t="s">
        <v>2291</v>
      </c>
      <c r="G350" s="100" t="s">
        <v>310</v>
      </c>
      <c r="H350" s="43" t="str">
        <f t="shared" si="99"/>
        <v>Rural MRSA Northeast</v>
      </c>
      <c r="I350" s="45">
        <f>INDEX('Fee Calc'!M:M,MATCH(C:C,'Fee Calc'!F:F,0))</f>
        <v>1642877.7823154076</v>
      </c>
      <c r="J350" s="45">
        <f>INDEX('Fee Calc'!L:L,MATCH(C:C,'Fee Calc'!F:F,0))</f>
        <v>339381.70216319954</v>
      </c>
      <c r="K350" s="45">
        <f t="shared" si="100"/>
        <v>1982259.4844786073</v>
      </c>
      <c r="L350" s="45">
        <v>63802.51</v>
      </c>
      <c r="M350" s="45">
        <v>-87558.62</v>
      </c>
      <c r="N350" s="45">
        <f t="shared" si="101"/>
        <v>-23756.109999999993</v>
      </c>
      <c r="O350" s="45">
        <v>124855.12799346921</v>
      </c>
      <c r="P350" s="45">
        <v>-49024.198071766878</v>
      </c>
      <c r="Q350" s="45">
        <f t="shared" si="102"/>
        <v>75830.929921702336</v>
      </c>
      <c r="R350" s="45" t="str">
        <f t="shared" si="103"/>
        <v>Yes</v>
      </c>
      <c r="S350" s="46" t="str">
        <f t="shared" si="103"/>
        <v>No</v>
      </c>
      <c r="T350" s="47">
        <f>ROUND(INDEX(Summary!H:H,MATCH(H:H,Summary!A:A,0)),2)</f>
        <v>0</v>
      </c>
      <c r="U350" s="47">
        <f>ROUND(INDEX(Summary!I:I,MATCH(H:H,Summary!A:A,0)),2)</f>
        <v>0.3</v>
      </c>
      <c r="V350" s="81">
        <f t="shared" si="104"/>
        <v>0</v>
      </c>
      <c r="W350" s="81">
        <f t="shared" si="104"/>
        <v>101814.51064895985</v>
      </c>
      <c r="X350" s="45">
        <f t="shared" si="105"/>
        <v>101814.51064895985</v>
      </c>
      <c r="Y350" s="45" t="s">
        <v>2752</v>
      </c>
      <c r="Z350" s="45" t="str">
        <f t="shared" si="106"/>
        <v>Yes</v>
      </c>
      <c r="AA350" s="45" t="str">
        <f t="shared" si="106"/>
        <v>No</v>
      </c>
      <c r="AB350" s="45" t="str">
        <f t="shared" si="107"/>
        <v>Yes</v>
      </c>
      <c r="AC350" s="82">
        <f t="shared" si="108"/>
        <v>0.05</v>
      </c>
      <c r="AD350" s="82">
        <f t="shared" si="108"/>
        <v>0</v>
      </c>
      <c r="AE350" s="45">
        <f t="shared" si="109"/>
        <v>82143.889115770391</v>
      </c>
      <c r="AF350" s="45">
        <f t="shared" si="109"/>
        <v>0</v>
      </c>
      <c r="AG350" s="45">
        <f t="shared" si="110"/>
        <v>82143.889115770391</v>
      </c>
      <c r="AH350" s="47">
        <f>IFERROR(ROUNDDOWN(INDEX('90% of ACR'!K:K,MATCH(H:H,'90% of ACR'!A:A,0))*IF(I350&gt;0,IF(O350&gt;0,$R$4*MAX(O350-V350,0),0),0)/I350,2),0)</f>
        <v>0.03</v>
      </c>
      <c r="AI350" s="82">
        <f>IFERROR(ROUNDDOWN(INDEX('90% of ACR'!R:R,MATCH(H:H,'90% of ACR'!A:A,0))*IF(J350&gt;0,IF(P350&gt;0,$R$4*MAX(P350-W350,0),0),0)/J350,2),0)</f>
        <v>0</v>
      </c>
      <c r="AJ350" s="45">
        <f t="shared" si="111"/>
        <v>49286.333469462224</v>
      </c>
      <c r="AK350" s="45">
        <f t="shared" si="111"/>
        <v>0</v>
      </c>
      <c r="AL350" s="47">
        <f t="shared" si="112"/>
        <v>0.03</v>
      </c>
      <c r="AM350" s="47">
        <f t="shared" si="112"/>
        <v>0.3</v>
      </c>
      <c r="AN350" s="83">
        <f>IFERROR(INDEX('Fee Calc'!P:P,MATCH(C350,'Fee Calc'!F:F,0)),0)</f>
        <v>151100.84411842207</v>
      </c>
      <c r="AO350" s="83">
        <f>IFERROR(INDEX('Fee Calc'!Q:Q,MATCH(C350,'Fee Calc'!F:F,0)),0)</f>
        <v>9267.8949045024347</v>
      </c>
      <c r="AP350" s="83">
        <f t="shared" si="113"/>
        <v>160368.73902292451</v>
      </c>
      <c r="AQ350" s="70">
        <f t="shared" si="114"/>
        <v>68482.583362437494</v>
      </c>
      <c r="AR350" s="70">
        <f t="shared" si="115"/>
        <v>34241.291681218747</v>
      </c>
      <c r="AS350" s="70">
        <f t="shared" si="116"/>
        <v>34241.291681218747</v>
      </c>
    </row>
    <row r="351" spans="1:45">
      <c r="A351" s="104" t="s">
        <v>801</v>
      </c>
      <c r="B351" s="124" t="s">
        <v>801</v>
      </c>
      <c r="C351" s="31" t="s">
        <v>802</v>
      </c>
      <c r="D351" s="125" t="s">
        <v>802</v>
      </c>
      <c r="E351" s="119" t="s">
        <v>2922</v>
      </c>
      <c r="F351" s="100" t="s">
        <v>2291</v>
      </c>
      <c r="G351" s="100" t="s">
        <v>227</v>
      </c>
      <c r="H351" s="43" t="str">
        <f t="shared" si="99"/>
        <v>Rural MRSA West</v>
      </c>
      <c r="I351" s="45">
        <f>INDEX('Fee Calc'!M:M,MATCH(C:C,'Fee Calc'!F:F,0))</f>
        <v>45524.452733495156</v>
      </c>
      <c r="J351" s="45">
        <f>INDEX('Fee Calc'!L:L,MATCH(C:C,'Fee Calc'!F:F,0))</f>
        <v>156624.72366071073</v>
      </c>
      <c r="K351" s="45">
        <f t="shared" si="100"/>
        <v>202149.17639420589</v>
      </c>
      <c r="L351" s="45">
        <v>36220.230000000003</v>
      </c>
      <c r="M351" s="45">
        <v>-836.38</v>
      </c>
      <c r="N351" s="45">
        <f t="shared" si="101"/>
        <v>35383.850000000006</v>
      </c>
      <c r="O351" s="45">
        <v>9447.2950561193102</v>
      </c>
      <c r="P351" s="45">
        <v>74082.554551043359</v>
      </c>
      <c r="Q351" s="45">
        <f t="shared" si="102"/>
        <v>83529.849607162672</v>
      </c>
      <c r="R351" s="45" t="str">
        <f t="shared" si="103"/>
        <v>Yes</v>
      </c>
      <c r="S351" s="46" t="str">
        <f t="shared" si="103"/>
        <v>Yes</v>
      </c>
      <c r="T351" s="47">
        <f>ROUND(INDEX(Summary!H:H,MATCH(H:H,Summary!A:A,0)),2)</f>
        <v>0</v>
      </c>
      <c r="U351" s="47">
        <f>ROUND(INDEX(Summary!I:I,MATCH(H:H,Summary!A:A,0)),2)</f>
        <v>0.2</v>
      </c>
      <c r="V351" s="81">
        <f t="shared" si="104"/>
        <v>0</v>
      </c>
      <c r="W351" s="81">
        <f t="shared" si="104"/>
        <v>31324.944732142147</v>
      </c>
      <c r="X351" s="45">
        <f t="shared" si="105"/>
        <v>31324.944732142147</v>
      </c>
      <c r="Y351" s="45" t="s">
        <v>2752</v>
      </c>
      <c r="Z351" s="45" t="str">
        <f t="shared" si="106"/>
        <v>No</v>
      </c>
      <c r="AA351" s="45" t="str">
        <f t="shared" si="106"/>
        <v>Yes</v>
      </c>
      <c r="AB351" s="45" t="str">
        <f t="shared" si="107"/>
        <v>Yes</v>
      </c>
      <c r="AC351" s="82">
        <f t="shared" si="108"/>
        <v>0.14000000000000001</v>
      </c>
      <c r="AD351" s="82">
        <f t="shared" si="108"/>
        <v>0.19</v>
      </c>
      <c r="AE351" s="45">
        <f t="shared" si="109"/>
        <v>6373.4233826893224</v>
      </c>
      <c r="AF351" s="45">
        <f t="shared" si="109"/>
        <v>29758.697495535038</v>
      </c>
      <c r="AG351" s="45">
        <f t="shared" si="110"/>
        <v>36132.120878224363</v>
      </c>
      <c r="AH351" s="47">
        <f>IFERROR(ROUNDDOWN(INDEX('90% of ACR'!K:K,MATCH(H:H,'90% of ACR'!A:A,0))*IF(I351&gt;0,IF(O351&gt;0,$R$4*MAX(O351-V351,0),0),0)/I351,2),0)</f>
        <v>0</v>
      </c>
      <c r="AI351" s="82">
        <f>IFERROR(ROUNDDOWN(INDEX('90% of ACR'!R:R,MATCH(H:H,'90% of ACR'!A:A,0))*IF(J351&gt;0,IF(P351&gt;0,$R$4*MAX(P351-W351,0),0),0)/J351,2),0)</f>
        <v>0.16</v>
      </c>
      <c r="AJ351" s="45">
        <f t="shared" si="111"/>
        <v>0</v>
      </c>
      <c r="AK351" s="45">
        <f t="shared" si="111"/>
        <v>25059.955785713719</v>
      </c>
      <c r="AL351" s="47">
        <f t="shared" si="112"/>
        <v>0</v>
      </c>
      <c r="AM351" s="47">
        <f t="shared" si="112"/>
        <v>0.36</v>
      </c>
      <c r="AN351" s="83">
        <f>IFERROR(INDEX('Fee Calc'!P:P,MATCH(C351,'Fee Calc'!F:F,0)),0)</f>
        <v>56384.900517855865</v>
      </c>
      <c r="AO351" s="83">
        <f>IFERROR(INDEX('Fee Calc'!Q:Q,MATCH(C351,'Fee Calc'!F:F,0)),0)</f>
        <v>3469.4021267669195</v>
      </c>
      <c r="AP351" s="83">
        <f t="shared" si="113"/>
        <v>59854.302644622789</v>
      </c>
      <c r="AQ351" s="70">
        <f t="shared" si="114"/>
        <v>25559.702566938558</v>
      </c>
      <c r="AR351" s="70">
        <f t="shared" si="115"/>
        <v>12779.851283469279</v>
      </c>
      <c r="AS351" s="70">
        <f t="shared" si="116"/>
        <v>12779.851283469279</v>
      </c>
    </row>
    <row r="352" spans="1:45">
      <c r="A352" s="104" t="s">
        <v>701</v>
      </c>
      <c r="B352" s="124" t="s">
        <v>701</v>
      </c>
      <c r="C352" s="31" t="s">
        <v>702</v>
      </c>
      <c r="D352" s="125" t="s">
        <v>702</v>
      </c>
      <c r="E352" s="119" t="s">
        <v>2923</v>
      </c>
      <c r="F352" s="100" t="s">
        <v>2279</v>
      </c>
      <c r="G352" s="100" t="s">
        <v>1189</v>
      </c>
      <c r="H352" s="43" t="str">
        <f t="shared" si="99"/>
        <v>Urban El Paso</v>
      </c>
      <c r="I352" s="45">
        <f>INDEX('Fee Calc'!M:M,MATCH(C:C,'Fee Calc'!F:F,0))</f>
        <v>9657822.5534592345</v>
      </c>
      <c r="J352" s="45">
        <f>INDEX('Fee Calc'!L:L,MATCH(C:C,'Fee Calc'!F:F,0))</f>
        <v>9600731.0165178236</v>
      </c>
      <c r="K352" s="45">
        <f t="shared" si="100"/>
        <v>19258553.56997706</v>
      </c>
      <c r="L352" s="45">
        <v>-16067139.58</v>
      </c>
      <c r="M352" s="45">
        <v>3549022.4</v>
      </c>
      <c r="N352" s="45">
        <f t="shared" si="101"/>
        <v>-12518117.18</v>
      </c>
      <c r="O352" s="45">
        <v>-23706666.917293362</v>
      </c>
      <c r="P352" s="45">
        <v>5273105.1888546897</v>
      </c>
      <c r="Q352" s="45">
        <f t="shared" si="102"/>
        <v>-18433561.728438672</v>
      </c>
      <c r="R352" s="45" t="str">
        <f t="shared" si="103"/>
        <v>No</v>
      </c>
      <c r="S352" s="46" t="str">
        <f t="shared" si="103"/>
        <v>Yes</v>
      </c>
      <c r="T352" s="47">
        <f>ROUND(INDEX(Summary!H:H,MATCH(H:H,Summary!A:A,0)),2)</f>
        <v>0.09</v>
      </c>
      <c r="U352" s="47">
        <f>ROUND(INDEX(Summary!I:I,MATCH(H:H,Summary!A:A,0)),2)</f>
        <v>0.45</v>
      </c>
      <c r="V352" s="81">
        <f t="shared" si="104"/>
        <v>869204.02981133107</v>
      </c>
      <c r="W352" s="81">
        <f t="shared" si="104"/>
        <v>4320328.9574330207</v>
      </c>
      <c r="X352" s="45">
        <f t="shared" si="105"/>
        <v>5189532.9872443518</v>
      </c>
      <c r="Y352" s="45" t="s">
        <v>2752</v>
      </c>
      <c r="Z352" s="45" t="str">
        <f t="shared" si="106"/>
        <v>No</v>
      </c>
      <c r="AA352" s="45" t="str">
        <f t="shared" si="106"/>
        <v>Yes</v>
      </c>
      <c r="AB352" s="45" t="str">
        <f t="shared" si="107"/>
        <v>Yes</v>
      </c>
      <c r="AC352" s="82">
        <f t="shared" si="108"/>
        <v>0</v>
      </c>
      <c r="AD352" s="82">
        <f t="shared" si="108"/>
        <v>7.0000000000000007E-2</v>
      </c>
      <c r="AE352" s="45">
        <f t="shared" si="109"/>
        <v>0</v>
      </c>
      <c r="AF352" s="45">
        <f t="shared" si="109"/>
        <v>672051.17115624773</v>
      </c>
      <c r="AG352" s="45">
        <f t="shared" si="110"/>
        <v>672051.17115624773</v>
      </c>
      <c r="AH352" s="47">
        <f>IFERROR(ROUNDDOWN(INDEX('90% of ACR'!K:K,MATCH(H:H,'90% of ACR'!A:A,0))*IF(I352&gt;0,IF(O352&gt;0,$R$4*MAX(O352-V352,0),0),0)/I352,2),0)</f>
        <v>0</v>
      </c>
      <c r="AI352" s="82">
        <f>IFERROR(ROUNDDOWN(INDEX('90% of ACR'!R:R,MATCH(H:H,'90% of ACR'!A:A,0))*IF(J352&gt;0,IF(P352&gt;0,$R$4*MAX(P352-W352,0),0),0)/J352,2),0)</f>
        <v>0.06</v>
      </c>
      <c r="AJ352" s="45">
        <f t="shared" si="111"/>
        <v>0</v>
      </c>
      <c r="AK352" s="45">
        <f t="shared" si="111"/>
        <v>576043.86099106935</v>
      </c>
      <c r="AL352" s="47">
        <f t="shared" si="112"/>
        <v>0.09</v>
      </c>
      <c r="AM352" s="47">
        <f t="shared" si="112"/>
        <v>0.51</v>
      </c>
      <c r="AN352" s="83">
        <f>IFERROR(INDEX('Fee Calc'!P:P,MATCH(C352,'Fee Calc'!F:F,0)),0)</f>
        <v>5765576.8482354209</v>
      </c>
      <c r="AO352" s="83">
        <f>IFERROR(INDEX('Fee Calc'!Q:Q,MATCH(C352,'Fee Calc'!F:F,0)),0)</f>
        <v>359722.88256030681</v>
      </c>
      <c r="AP352" s="83">
        <f t="shared" si="113"/>
        <v>6125299.730795728</v>
      </c>
      <c r="AQ352" s="70">
        <f t="shared" si="114"/>
        <v>2615698.9946411615</v>
      </c>
      <c r="AR352" s="70">
        <f t="shared" si="115"/>
        <v>1307849.4973205808</v>
      </c>
      <c r="AS352" s="70">
        <f t="shared" si="116"/>
        <v>1307849.4973205808</v>
      </c>
    </row>
    <row r="353" spans="1:45">
      <c r="A353" s="104" t="s">
        <v>674</v>
      </c>
      <c r="B353" s="124" t="s">
        <v>674</v>
      </c>
      <c r="C353" s="31" t="s">
        <v>675</v>
      </c>
      <c r="D353" s="125" t="s">
        <v>675</v>
      </c>
      <c r="E353" s="119" t="s">
        <v>2924</v>
      </c>
      <c r="F353" s="100" t="s">
        <v>2291</v>
      </c>
      <c r="G353" s="100" t="s">
        <v>227</v>
      </c>
      <c r="H353" s="43" t="str">
        <f t="shared" si="99"/>
        <v>Rural MRSA West</v>
      </c>
      <c r="I353" s="45">
        <f>INDEX('Fee Calc'!M:M,MATCH(C:C,'Fee Calc'!F:F,0))</f>
        <v>27730.078366397396</v>
      </c>
      <c r="J353" s="45">
        <f>INDEX('Fee Calc'!L:L,MATCH(C:C,'Fee Calc'!F:F,0))</f>
        <v>263483.17302062071</v>
      </c>
      <c r="K353" s="45">
        <f t="shared" si="100"/>
        <v>291213.25138701813</v>
      </c>
      <c r="L353" s="45">
        <v>14922.33</v>
      </c>
      <c r="M353" s="45">
        <v>-16666.53</v>
      </c>
      <c r="N353" s="45">
        <f t="shared" si="101"/>
        <v>-1744.1999999999989</v>
      </c>
      <c r="O353" s="45">
        <v>-10440.127255192878</v>
      </c>
      <c r="P353" s="45">
        <v>-10831.119543273453</v>
      </c>
      <c r="Q353" s="45">
        <f t="shared" si="102"/>
        <v>-21271.246798466331</v>
      </c>
      <c r="R353" s="45" t="str">
        <f t="shared" si="103"/>
        <v>No</v>
      </c>
      <c r="S353" s="46" t="str">
        <f t="shared" si="103"/>
        <v>No</v>
      </c>
      <c r="T353" s="47">
        <f>ROUND(INDEX(Summary!H:H,MATCH(H:H,Summary!A:A,0)),2)</f>
        <v>0</v>
      </c>
      <c r="U353" s="47">
        <f>ROUND(INDEX(Summary!I:I,MATCH(H:H,Summary!A:A,0)),2)</f>
        <v>0.2</v>
      </c>
      <c r="V353" s="81">
        <f t="shared" si="104"/>
        <v>0</v>
      </c>
      <c r="W353" s="81">
        <f t="shared" si="104"/>
        <v>52696.634604124149</v>
      </c>
      <c r="X353" s="45">
        <f t="shared" si="105"/>
        <v>52696.634604124149</v>
      </c>
      <c r="Y353" s="45" t="s">
        <v>2752</v>
      </c>
      <c r="Z353" s="45" t="str">
        <f t="shared" si="106"/>
        <v>No</v>
      </c>
      <c r="AA353" s="45" t="str">
        <f t="shared" si="106"/>
        <v>No</v>
      </c>
      <c r="AB353" s="45" t="str">
        <f t="shared" si="107"/>
        <v>No</v>
      </c>
      <c r="AC353" s="82">
        <f t="shared" si="108"/>
        <v>0</v>
      </c>
      <c r="AD353" s="82">
        <f t="shared" si="108"/>
        <v>0</v>
      </c>
      <c r="AE353" s="45">
        <f t="shared" si="109"/>
        <v>0</v>
      </c>
      <c r="AF353" s="45">
        <f t="shared" si="109"/>
        <v>0</v>
      </c>
      <c r="AG353" s="45">
        <f t="shared" si="110"/>
        <v>0</v>
      </c>
      <c r="AH353" s="47">
        <f>IFERROR(ROUNDDOWN(INDEX('90% of ACR'!K:K,MATCH(H:H,'90% of ACR'!A:A,0))*IF(I353&gt;0,IF(O353&gt;0,$R$4*MAX(O353-V353,0),0),0)/I353,2),0)</f>
        <v>0</v>
      </c>
      <c r="AI353" s="82">
        <f>IFERROR(ROUNDDOWN(INDEX('90% of ACR'!R:R,MATCH(H:H,'90% of ACR'!A:A,0))*IF(J353&gt;0,IF(P353&gt;0,$R$4*MAX(P353-W353,0),0),0)/J353,2),0)</f>
        <v>0</v>
      </c>
      <c r="AJ353" s="45">
        <f t="shared" si="111"/>
        <v>0</v>
      </c>
      <c r="AK353" s="45">
        <f t="shared" si="111"/>
        <v>0</v>
      </c>
      <c r="AL353" s="47">
        <f t="shared" si="112"/>
        <v>0</v>
      </c>
      <c r="AM353" s="47">
        <f t="shared" si="112"/>
        <v>0.2</v>
      </c>
      <c r="AN353" s="83">
        <f>IFERROR(INDEX('Fee Calc'!P:P,MATCH(C353,'Fee Calc'!F:F,0)),0)</f>
        <v>52696.634604124149</v>
      </c>
      <c r="AO353" s="83">
        <f>IFERROR(INDEX('Fee Calc'!Q:Q,MATCH(C353,'Fee Calc'!F:F,0)),0)</f>
        <v>3254.9644216059874</v>
      </c>
      <c r="AP353" s="83">
        <f t="shared" si="113"/>
        <v>55951.599025730138</v>
      </c>
      <c r="AQ353" s="70">
        <f t="shared" si="114"/>
        <v>23893.123235155592</v>
      </c>
      <c r="AR353" s="70">
        <f t="shared" si="115"/>
        <v>11946.561617577796</v>
      </c>
      <c r="AS353" s="70">
        <f t="shared" si="116"/>
        <v>11946.561617577796</v>
      </c>
    </row>
    <row r="354" spans="1:45">
      <c r="A354" s="104" t="s">
        <v>1155</v>
      </c>
      <c r="B354" s="124" t="s">
        <v>1155</v>
      </c>
      <c r="C354" s="31" t="s">
        <v>1156</v>
      </c>
      <c r="D354" s="125" t="s">
        <v>1156</v>
      </c>
      <c r="E354" s="119" t="s">
        <v>2925</v>
      </c>
      <c r="F354" s="100" t="s">
        <v>2291</v>
      </c>
      <c r="G354" s="100" t="s">
        <v>227</v>
      </c>
      <c r="H354" s="43" t="str">
        <f t="shared" si="99"/>
        <v>Rural MRSA West</v>
      </c>
      <c r="I354" s="45">
        <f>INDEX('Fee Calc'!M:M,MATCH(C:C,'Fee Calc'!F:F,0))</f>
        <v>4317719.6439645942</v>
      </c>
      <c r="J354" s="45">
        <f>INDEX('Fee Calc'!L:L,MATCH(C:C,'Fee Calc'!F:F,0))</f>
        <v>3183376.727907585</v>
      </c>
      <c r="K354" s="45">
        <f t="shared" si="100"/>
        <v>7501096.3718721792</v>
      </c>
      <c r="L354" s="45">
        <v>482455.9</v>
      </c>
      <c r="M354" s="45">
        <v>821200.56</v>
      </c>
      <c r="N354" s="45">
        <f t="shared" si="101"/>
        <v>1303656.46</v>
      </c>
      <c r="O354" s="45">
        <v>731695.29389379732</v>
      </c>
      <c r="P354" s="45">
        <v>2370921.7949906755</v>
      </c>
      <c r="Q354" s="45">
        <f t="shared" si="102"/>
        <v>3102617.0888844728</v>
      </c>
      <c r="R354" s="45" t="str">
        <f t="shared" si="103"/>
        <v>Yes</v>
      </c>
      <c r="S354" s="46" t="str">
        <f t="shared" si="103"/>
        <v>Yes</v>
      </c>
      <c r="T354" s="47">
        <f>ROUND(INDEX(Summary!H:H,MATCH(H:H,Summary!A:A,0)),2)</f>
        <v>0</v>
      </c>
      <c r="U354" s="47">
        <f>ROUND(INDEX(Summary!I:I,MATCH(H:H,Summary!A:A,0)),2)</f>
        <v>0.2</v>
      </c>
      <c r="V354" s="81">
        <f t="shared" si="104"/>
        <v>0</v>
      </c>
      <c r="W354" s="81">
        <f t="shared" si="104"/>
        <v>636675.34558151709</v>
      </c>
      <c r="X354" s="45">
        <f t="shared" si="105"/>
        <v>636675.34558151709</v>
      </c>
      <c r="Y354" s="45" t="s">
        <v>2752</v>
      </c>
      <c r="Z354" s="45" t="str">
        <f t="shared" si="106"/>
        <v>No</v>
      </c>
      <c r="AA354" s="45" t="str">
        <f t="shared" si="106"/>
        <v>Yes</v>
      </c>
      <c r="AB354" s="45" t="str">
        <f t="shared" si="107"/>
        <v>Yes</v>
      </c>
      <c r="AC354" s="82">
        <f t="shared" si="108"/>
        <v>0.12</v>
      </c>
      <c r="AD354" s="82">
        <f t="shared" si="108"/>
        <v>0.38</v>
      </c>
      <c r="AE354" s="45">
        <f t="shared" si="109"/>
        <v>518126.3572757513</v>
      </c>
      <c r="AF354" s="45">
        <f t="shared" si="109"/>
        <v>1209683.1566048823</v>
      </c>
      <c r="AG354" s="45">
        <f t="shared" si="110"/>
        <v>1727809.5138806337</v>
      </c>
      <c r="AH354" s="47">
        <f>IFERROR(ROUNDDOWN(INDEX('90% of ACR'!K:K,MATCH(H:H,'90% of ACR'!A:A,0))*IF(I354&gt;0,IF(O354&gt;0,$R$4*MAX(O354-V354,0),0),0)/I354,2),0)</f>
        <v>0</v>
      </c>
      <c r="AI354" s="82">
        <f>IFERROR(ROUNDDOWN(INDEX('90% of ACR'!R:R,MATCH(H:H,'90% of ACR'!A:A,0))*IF(J354&gt;0,IF(P354&gt;0,$R$4*MAX(P354-W354,0),0),0)/J354,2),0)</f>
        <v>0.33</v>
      </c>
      <c r="AJ354" s="45">
        <f t="shared" si="111"/>
        <v>0</v>
      </c>
      <c r="AK354" s="45">
        <f t="shared" si="111"/>
        <v>1050514.3202095032</v>
      </c>
      <c r="AL354" s="47">
        <f t="shared" si="112"/>
        <v>0</v>
      </c>
      <c r="AM354" s="47">
        <f t="shared" si="112"/>
        <v>0.53</v>
      </c>
      <c r="AN354" s="83">
        <f>IFERROR(INDEX('Fee Calc'!P:P,MATCH(C354,'Fee Calc'!F:F,0)),0)</f>
        <v>1687189.66579102</v>
      </c>
      <c r="AO354" s="83">
        <f>IFERROR(INDEX('Fee Calc'!Q:Q,MATCH(C354,'Fee Calc'!F:F,0)),0)</f>
        <v>103517.97247230733</v>
      </c>
      <c r="AP354" s="83">
        <f t="shared" si="113"/>
        <v>1790707.6382633273</v>
      </c>
      <c r="AQ354" s="70">
        <f t="shared" si="114"/>
        <v>764689.46418286522</v>
      </c>
      <c r="AR354" s="70">
        <f t="shared" si="115"/>
        <v>382344.73209143261</v>
      </c>
      <c r="AS354" s="70">
        <f t="shared" si="116"/>
        <v>382344.73209143261</v>
      </c>
    </row>
    <row r="355" spans="1:45">
      <c r="A355" s="104" t="s">
        <v>886</v>
      </c>
      <c r="B355" s="124" t="s">
        <v>886</v>
      </c>
      <c r="C355" s="31" t="s">
        <v>887</v>
      </c>
      <c r="D355" s="125" t="s">
        <v>887</v>
      </c>
      <c r="E355" s="119" t="s">
        <v>2926</v>
      </c>
      <c r="F355" s="100" t="s">
        <v>2279</v>
      </c>
      <c r="G355" s="100" t="s">
        <v>1486</v>
      </c>
      <c r="H355" s="43" t="str">
        <f t="shared" si="99"/>
        <v>Urban MRSA Central</v>
      </c>
      <c r="I355" s="45">
        <f>INDEX('Fee Calc'!M:M,MATCH(C:C,'Fee Calc'!F:F,0))</f>
        <v>7686815.230691677</v>
      </c>
      <c r="J355" s="45">
        <f>INDEX('Fee Calc'!L:L,MATCH(C:C,'Fee Calc'!F:F,0))</f>
        <v>4368298.3252094872</v>
      </c>
      <c r="K355" s="45">
        <f t="shared" si="100"/>
        <v>12055113.555901164</v>
      </c>
      <c r="L355" s="45">
        <v>3106798.14</v>
      </c>
      <c r="M355" s="45">
        <v>2788195.25</v>
      </c>
      <c r="N355" s="45">
        <f t="shared" si="101"/>
        <v>5894993.3900000006</v>
      </c>
      <c r="O355" s="45">
        <v>7736016.1647754954</v>
      </c>
      <c r="P355" s="45">
        <v>4810804.854159439</v>
      </c>
      <c r="Q355" s="45">
        <f t="shared" si="102"/>
        <v>12546821.018934935</v>
      </c>
      <c r="R355" s="45" t="str">
        <f t="shared" si="103"/>
        <v>Yes</v>
      </c>
      <c r="S355" s="46" t="str">
        <f t="shared" si="103"/>
        <v>Yes</v>
      </c>
      <c r="T355" s="47">
        <f>ROUND(INDEX(Summary!H:H,MATCH(H:H,Summary!A:A,0)),2)</f>
        <v>0.43</v>
      </c>
      <c r="U355" s="47">
        <f>ROUND(INDEX(Summary!I:I,MATCH(H:H,Summary!A:A,0)),2)</f>
        <v>0.92</v>
      </c>
      <c r="V355" s="81">
        <f t="shared" si="104"/>
        <v>3305330.5491974209</v>
      </c>
      <c r="W355" s="81">
        <f t="shared" si="104"/>
        <v>4018834.4591927286</v>
      </c>
      <c r="X355" s="45">
        <f t="shared" si="105"/>
        <v>7324165.0083901491</v>
      </c>
      <c r="Y355" s="45" t="s">
        <v>2752</v>
      </c>
      <c r="Z355" s="45" t="str">
        <f t="shared" si="106"/>
        <v>Yes</v>
      </c>
      <c r="AA355" s="45" t="str">
        <f t="shared" si="106"/>
        <v>No</v>
      </c>
      <c r="AB355" s="45" t="str">
        <f t="shared" si="107"/>
        <v>Yes</v>
      </c>
      <c r="AC355" s="82">
        <f t="shared" si="108"/>
        <v>0.4</v>
      </c>
      <c r="AD355" s="82">
        <f t="shared" si="108"/>
        <v>0.13</v>
      </c>
      <c r="AE355" s="45">
        <f t="shared" si="109"/>
        <v>3074726.092276671</v>
      </c>
      <c r="AF355" s="45">
        <f t="shared" si="109"/>
        <v>567878.78227723332</v>
      </c>
      <c r="AG355" s="45">
        <f t="shared" si="110"/>
        <v>3642604.8745539044</v>
      </c>
      <c r="AH355" s="47">
        <f>IFERROR(ROUNDDOWN(INDEX('90% of ACR'!K:K,MATCH(H:H,'90% of ACR'!A:A,0))*IF(I355&gt;0,IF(O355&gt;0,$R$4*MAX(O355-V355,0),0),0)/I355,2),0)</f>
        <v>0.4</v>
      </c>
      <c r="AI355" s="82">
        <f>IFERROR(ROUNDDOWN(INDEX('90% of ACR'!R:R,MATCH(H:H,'90% of ACR'!A:A,0))*IF(J355&gt;0,IF(P355&gt;0,$R$4*MAX(P355-W355,0),0),0)/J355,2),0)</f>
        <v>0</v>
      </c>
      <c r="AJ355" s="45">
        <f t="shared" si="111"/>
        <v>3074726.092276671</v>
      </c>
      <c r="AK355" s="45">
        <f t="shared" si="111"/>
        <v>0</v>
      </c>
      <c r="AL355" s="47">
        <f t="shared" si="112"/>
        <v>0.83000000000000007</v>
      </c>
      <c r="AM355" s="47">
        <f t="shared" si="112"/>
        <v>0.92</v>
      </c>
      <c r="AN355" s="83">
        <f>IFERROR(INDEX('Fee Calc'!P:P,MATCH(C355,'Fee Calc'!F:F,0)),0)</f>
        <v>10398891.100666821</v>
      </c>
      <c r="AO355" s="83">
        <f>IFERROR(INDEX('Fee Calc'!Q:Q,MATCH(C355,'Fee Calc'!F:F,0)),0)</f>
        <v>641185.1384128615</v>
      </c>
      <c r="AP355" s="83">
        <f t="shared" si="113"/>
        <v>11040076.239079682</v>
      </c>
      <c r="AQ355" s="70">
        <f t="shared" si="114"/>
        <v>4714465.8365266751</v>
      </c>
      <c r="AR355" s="70">
        <f t="shared" si="115"/>
        <v>2357232.9182633376</v>
      </c>
      <c r="AS355" s="70">
        <f t="shared" si="116"/>
        <v>2357232.9182633376</v>
      </c>
    </row>
    <row r="356" spans="1:45">
      <c r="A356" s="104" t="s">
        <v>279</v>
      </c>
      <c r="B356" s="124" t="s">
        <v>279</v>
      </c>
      <c r="C356" s="31" t="s">
        <v>280</v>
      </c>
      <c r="D356" s="125" t="s">
        <v>280</v>
      </c>
      <c r="E356" s="119" t="s">
        <v>2927</v>
      </c>
      <c r="F356" s="100" t="s">
        <v>2291</v>
      </c>
      <c r="G356" s="100" t="s">
        <v>1486</v>
      </c>
      <c r="H356" s="43" t="str">
        <f t="shared" si="99"/>
        <v>Rural MRSA Central</v>
      </c>
      <c r="I356" s="45">
        <f>INDEX('Fee Calc'!M:M,MATCH(C:C,'Fee Calc'!F:F,0))</f>
        <v>40094.382661018797</v>
      </c>
      <c r="J356" s="45">
        <f>INDEX('Fee Calc'!L:L,MATCH(C:C,'Fee Calc'!F:F,0))</f>
        <v>625359.01380531746</v>
      </c>
      <c r="K356" s="45">
        <f t="shared" si="100"/>
        <v>665453.39646633621</v>
      </c>
      <c r="L356" s="45">
        <v>17948.099999999999</v>
      </c>
      <c r="M356" s="45">
        <v>-158405.57999999999</v>
      </c>
      <c r="N356" s="45">
        <f t="shared" si="101"/>
        <v>-140457.47999999998</v>
      </c>
      <c r="O356" s="45">
        <v>7445.3665158222138</v>
      </c>
      <c r="P356" s="45">
        <v>312559.10205727472</v>
      </c>
      <c r="Q356" s="45">
        <f t="shared" si="102"/>
        <v>320004.46857309691</v>
      </c>
      <c r="R356" s="45" t="str">
        <f t="shared" si="103"/>
        <v>Yes</v>
      </c>
      <c r="S356" s="46" t="str">
        <f t="shared" si="103"/>
        <v>Yes</v>
      </c>
      <c r="T356" s="47">
        <f>ROUND(INDEX(Summary!H:H,MATCH(H:H,Summary!A:A,0)),2)</f>
        <v>0.09</v>
      </c>
      <c r="U356" s="47">
        <f>ROUND(INDEX(Summary!I:I,MATCH(H:H,Summary!A:A,0)),2)</f>
        <v>0.09</v>
      </c>
      <c r="V356" s="81">
        <f t="shared" si="104"/>
        <v>3608.4944394916915</v>
      </c>
      <c r="W356" s="81">
        <f t="shared" si="104"/>
        <v>56282.311242478572</v>
      </c>
      <c r="X356" s="45">
        <f t="shared" si="105"/>
        <v>59890.805681970262</v>
      </c>
      <c r="Y356" s="45" t="s">
        <v>2752</v>
      </c>
      <c r="Z356" s="45" t="str">
        <f t="shared" si="106"/>
        <v>Yes</v>
      </c>
      <c r="AA356" s="45" t="str">
        <f t="shared" si="106"/>
        <v>Yes</v>
      </c>
      <c r="AB356" s="45" t="str">
        <f t="shared" si="107"/>
        <v>Yes</v>
      </c>
      <c r="AC356" s="82">
        <f t="shared" si="108"/>
        <v>7.0000000000000007E-2</v>
      </c>
      <c r="AD356" s="82">
        <f t="shared" si="108"/>
        <v>0.28999999999999998</v>
      </c>
      <c r="AE356" s="45">
        <f t="shared" si="109"/>
        <v>2806.6067862713162</v>
      </c>
      <c r="AF356" s="45">
        <f t="shared" si="109"/>
        <v>181354.11400354205</v>
      </c>
      <c r="AG356" s="45">
        <f t="shared" si="110"/>
        <v>184160.72078981338</v>
      </c>
      <c r="AH356" s="47">
        <f>IFERROR(ROUNDDOWN(INDEX('90% of ACR'!K:K,MATCH(H:H,'90% of ACR'!A:A,0))*IF(I356&gt;0,IF(O356&gt;0,$R$4*MAX(O356-V356,0),0),0)/I356,2),0)</f>
        <v>0.03</v>
      </c>
      <c r="AI356" s="82">
        <f>IFERROR(ROUNDDOWN(INDEX('90% of ACR'!R:R,MATCH(H:H,'90% of ACR'!A:A,0))*IF(J356&gt;0,IF(P356&gt;0,$R$4*MAX(P356-W356,0),0),0)/J356,2),0)</f>
        <v>0.28000000000000003</v>
      </c>
      <c r="AJ356" s="45">
        <f t="shared" si="111"/>
        <v>1202.8314798305639</v>
      </c>
      <c r="AK356" s="45">
        <f t="shared" si="111"/>
        <v>175100.52386548891</v>
      </c>
      <c r="AL356" s="47">
        <f t="shared" si="112"/>
        <v>0.12</v>
      </c>
      <c r="AM356" s="47">
        <f t="shared" si="112"/>
        <v>0.37</v>
      </c>
      <c r="AN356" s="83">
        <f>IFERROR(INDEX('Fee Calc'!P:P,MATCH(C356,'Fee Calc'!F:F,0)),0)</f>
        <v>236194.16102728972</v>
      </c>
      <c r="AO356" s="83">
        <f>IFERROR(INDEX('Fee Calc'!Q:Q,MATCH(C356,'Fee Calc'!F:F,0)),0)</f>
        <v>14524.548292674946</v>
      </c>
      <c r="AP356" s="83">
        <f t="shared" si="113"/>
        <v>250718.70931996466</v>
      </c>
      <c r="AQ356" s="70">
        <f t="shared" si="114"/>
        <v>107064.91187832315</v>
      </c>
      <c r="AR356" s="70">
        <f t="shared" si="115"/>
        <v>53532.455939161577</v>
      </c>
      <c r="AS356" s="70">
        <f t="shared" si="116"/>
        <v>53532.455939161577</v>
      </c>
    </row>
    <row r="357" spans="1:45">
      <c r="A357" s="104" t="s">
        <v>1110</v>
      </c>
      <c r="B357" s="124" t="s">
        <v>1110</v>
      </c>
      <c r="C357" s="31" t="s">
        <v>1111</v>
      </c>
      <c r="D357" s="125" t="s">
        <v>1111</v>
      </c>
      <c r="E357" s="119" t="s">
        <v>2588</v>
      </c>
      <c r="F357" s="100" t="s">
        <v>2279</v>
      </c>
      <c r="G357" s="100" t="s">
        <v>1365</v>
      </c>
      <c r="H357" s="43" t="str">
        <f t="shared" si="99"/>
        <v>Urban Tarrant</v>
      </c>
      <c r="I357" s="45">
        <f>INDEX('Fee Calc'!M:M,MATCH(C:C,'Fee Calc'!F:F,0))</f>
        <v>7231944.4717106633</v>
      </c>
      <c r="J357" s="45">
        <f>INDEX('Fee Calc'!L:L,MATCH(C:C,'Fee Calc'!F:F,0))</f>
        <v>6266944.8370159194</v>
      </c>
      <c r="K357" s="45">
        <f t="shared" si="100"/>
        <v>13498889.308726583</v>
      </c>
      <c r="L357" s="45">
        <v>3974033.52</v>
      </c>
      <c r="M357" s="45">
        <v>637222.16</v>
      </c>
      <c r="N357" s="45">
        <f t="shared" si="101"/>
        <v>4611255.68</v>
      </c>
      <c r="O357" s="45">
        <v>16807423.948827177</v>
      </c>
      <c r="P357" s="45">
        <v>2823825.4444447551</v>
      </c>
      <c r="Q357" s="45">
        <f t="shared" si="102"/>
        <v>19631249.393271931</v>
      </c>
      <c r="R357" s="45" t="str">
        <f t="shared" si="103"/>
        <v>Yes</v>
      </c>
      <c r="S357" s="46" t="str">
        <f t="shared" si="103"/>
        <v>Yes</v>
      </c>
      <c r="T357" s="47">
        <f>ROUND(INDEX(Summary!H:H,MATCH(H:H,Summary!A:A,0)),2)</f>
        <v>0.74</v>
      </c>
      <c r="U357" s="47">
        <f>ROUND(INDEX(Summary!I:I,MATCH(H:H,Summary!A:A,0)),2)</f>
        <v>0.49</v>
      </c>
      <c r="V357" s="81">
        <f t="shared" si="104"/>
        <v>5351638.9090658911</v>
      </c>
      <c r="W357" s="81">
        <f t="shared" si="104"/>
        <v>3070802.9701378006</v>
      </c>
      <c r="X357" s="45">
        <f t="shared" si="105"/>
        <v>8422441.8792036921</v>
      </c>
      <c r="Y357" s="45" t="s">
        <v>2752</v>
      </c>
      <c r="Z357" s="45" t="str">
        <f t="shared" si="106"/>
        <v>Yes</v>
      </c>
      <c r="AA357" s="45" t="str">
        <f t="shared" si="106"/>
        <v>No</v>
      </c>
      <c r="AB357" s="45" t="str">
        <f t="shared" si="107"/>
        <v>Yes</v>
      </c>
      <c r="AC357" s="82">
        <f t="shared" si="108"/>
        <v>1.1000000000000001</v>
      </c>
      <c r="AD357" s="82">
        <f t="shared" si="108"/>
        <v>0</v>
      </c>
      <c r="AE357" s="45">
        <f t="shared" si="109"/>
        <v>7955138.9188817302</v>
      </c>
      <c r="AF357" s="45">
        <f t="shared" si="109"/>
        <v>0</v>
      </c>
      <c r="AG357" s="45">
        <f t="shared" si="110"/>
        <v>7955138.9188817302</v>
      </c>
      <c r="AH357" s="47">
        <f>IFERROR(ROUNDDOWN(INDEX('90% of ACR'!K:K,MATCH(H:H,'90% of ACR'!A:A,0))*IF(I357&gt;0,IF(O357&gt;0,$R$4*MAX(O357-V357,0),0),0)/I357,2),0)</f>
        <v>1.1000000000000001</v>
      </c>
      <c r="AI357" s="82">
        <f>IFERROR(ROUNDDOWN(INDEX('90% of ACR'!R:R,MATCH(H:H,'90% of ACR'!A:A,0))*IF(J357&gt;0,IF(P357&gt;0,$R$4*MAX(P357-W357,0),0),0)/J357,2),0)</f>
        <v>0</v>
      </c>
      <c r="AJ357" s="45">
        <f t="shared" si="111"/>
        <v>7955138.9188817302</v>
      </c>
      <c r="AK357" s="45">
        <f t="shared" si="111"/>
        <v>0</v>
      </c>
      <c r="AL357" s="47">
        <f t="shared" si="112"/>
        <v>1.84</v>
      </c>
      <c r="AM357" s="47">
        <f t="shared" si="112"/>
        <v>0.49</v>
      </c>
      <c r="AN357" s="83">
        <f>IFERROR(INDEX('Fee Calc'!P:P,MATCH(C357,'Fee Calc'!F:F,0)),0)</f>
        <v>16377580.798085421</v>
      </c>
      <c r="AO357" s="83">
        <f>IFERROR(INDEX('Fee Calc'!Q:Q,MATCH(C357,'Fee Calc'!F:F,0)),0)</f>
        <v>1019766.3416033622</v>
      </c>
      <c r="AP357" s="83">
        <f t="shared" si="113"/>
        <v>17397347.139688782</v>
      </c>
      <c r="AQ357" s="70">
        <f t="shared" si="114"/>
        <v>7429223.9437555801</v>
      </c>
      <c r="AR357" s="70">
        <f t="shared" si="115"/>
        <v>3714611.9718777901</v>
      </c>
      <c r="AS357" s="70">
        <f t="shared" si="116"/>
        <v>3714611.9718777901</v>
      </c>
    </row>
    <row r="358" spans="1:45">
      <c r="A358" s="104" t="s">
        <v>1069</v>
      </c>
      <c r="B358" s="124" t="s">
        <v>1069</v>
      </c>
      <c r="C358" s="31" t="s">
        <v>1070</v>
      </c>
      <c r="D358" s="125" t="s">
        <v>1070</v>
      </c>
      <c r="E358" s="119" t="s">
        <v>2928</v>
      </c>
      <c r="F358" s="100" t="s">
        <v>2291</v>
      </c>
      <c r="G358" s="100" t="s">
        <v>227</v>
      </c>
      <c r="H358" s="43" t="str">
        <f t="shared" si="99"/>
        <v>Rural MRSA West</v>
      </c>
      <c r="I358" s="45">
        <f>INDEX('Fee Calc'!M:M,MATCH(C:C,'Fee Calc'!F:F,0))</f>
        <v>63657.8799624362</v>
      </c>
      <c r="J358" s="45">
        <f>INDEX('Fee Calc'!L:L,MATCH(C:C,'Fee Calc'!F:F,0))</f>
        <v>123518.62148341755</v>
      </c>
      <c r="K358" s="45">
        <f t="shared" si="100"/>
        <v>187176.50144585373</v>
      </c>
      <c r="L358" s="45">
        <v>19999.75</v>
      </c>
      <c r="M358" s="45">
        <v>-10665.32</v>
      </c>
      <c r="N358" s="45">
        <f t="shared" si="101"/>
        <v>9334.43</v>
      </c>
      <c r="O358" s="45">
        <v>7475.7525549045095</v>
      </c>
      <c r="P358" s="45">
        <v>-5760.1173422356151</v>
      </c>
      <c r="Q358" s="45">
        <f t="shared" si="102"/>
        <v>1715.6352126688944</v>
      </c>
      <c r="R358" s="45" t="str">
        <f t="shared" si="103"/>
        <v>Yes</v>
      </c>
      <c r="S358" s="46" t="str">
        <f t="shared" si="103"/>
        <v>No</v>
      </c>
      <c r="T358" s="47">
        <f>ROUND(INDEX(Summary!H:H,MATCH(H:H,Summary!A:A,0)),2)</f>
        <v>0</v>
      </c>
      <c r="U358" s="47">
        <f>ROUND(INDEX(Summary!I:I,MATCH(H:H,Summary!A:A,0)),2)</f>
        <v>0.2</v>
      </c>
      <c r="V358" s="81">
        <f t="shared" si="104"/>
        <v>0</v>
      </c>
      <c r="W358" s="81">
        <f t="shared" si="104"/>
        <v>24703.724296683511</v>
      </c>
      <c r="X358" s="45">
        <f t="shared" si="105"/>
        <v>24703.724296683511</v>
      </c>
      <c r="Y358" s="45" t="s">
        <v>2752</v>
      </c>
      <c r="Z358" s="45" t="str">
        <f t="shared" si="106"/>
        <v>No</v>
      </c>
      <c r="AA358" s="45" t="str">
        <f t="shared" si="106"/>
        <v>No</v>
      </c>
      <c r="AB358" s="45" t="str">
        <f t="shared" si="107"/>
        <v>Yes</v>
      </c>
      <c r="AC358" s="82">
        <f t="shared" si="108"/>
        <v>0.08</v>
      </c>
      <c r="AD358" s="82">
        <f t="shared" si="108"/>
        <v>0</v>
      </c>
      <c r="AE358" s="45">
        <f t="shared" si="109"/>
        <v>5092.6303969948958</v>
      </c>
      <c r="AF358" s="45">
        <f t="shared" si="109"/>
        <v>0</v>
      </c>
      <c r="AG358" s="45">
        <f t="shared" si="110"/>
        <v>5092.6303969948958</v>
      </c>
      <c r="AH358" s="47">
        <f>IFERROR(ROUNDDOWN(INDEX('90% of ACR'!K:K,MATCH(H:H,'90% of ACR'!A:A,0))*IF(I358&gt;0,IF(O358&gt;0,$R$4*MAX(O358-V358,0),0),0)/I358,2),0)</f>
        <v>0</v>
      </c>
      <c r="AI358" s="82">
        <f>IFERROR(ROUNDDOWN(INDEX('90% of ACR'!R:R,MATCH(H:H,'90% of ACR'!A:A,0))*IF(J358&gt;0,IF(P358&gt;0,$R$4*MAX(P358-W358,0),0),0)/J358,2),0)</f>
        <v>0</v>
      </c>
      <c r="AJ358" s="45">
        <f t="shared" si="111"/>
        <v>0</v>
      </c>
      <c r="AK358" s="45">
        <f t="shared" si="111"/>
        <v>0</v>
      </c>
      <c r="AL358" s="47">
        <f t="shared" si="112"/>
        <v>0</v>
      </c>
      <c r="AM358" s="47">
        <f t="shared" si="112"/>
        <v>0.2</v>
      </c>
      <c r="AN358" s="83">
        <f>IFERROR(INDEX('Fee Calc'!P:P,MATCH(C358,'Fee Calc'!F:F,0)),0)</f>
        <v>24703.724296683511</v>
      </c>
      <c r="AO358" s="83">
        <f>IFERROR(INDEX('Fee Calc'!Q:Q,MATCH(C358,'Fee Calc'!F:F,0)),0)</f>
        <v>1515.7671667034065</v>
      </c>
      <c r="AP358" s="83">
        <f t="shared" si="113"/>
        <v>26219.491463386919</v>
      </c>
      <c r="AQ358" s="70">
        <f t="shared" si="114"/>
        <v>11196.561878593044</v>
      </c>
      <c r="AR358" s="70">
        <f t="shared" si="115"/>
        <v>5598.2809392965219</v>
      </c>
      <c r="AS358" s="70">
        <f t="shared" si="116"/>
        <v>5598.2809392965219</v>
      </c>
    </row>
    <row r="359" spans="1:45">
      <c r="A359" s="104" t="s">
        <v>1107</v>
      </c>
      <c r="B359" s="124" t="s">
        <v>1107</v>
      </c>
      <c r="C359" s="31" t="s">
        <v>1108</v>
      </c>
      <c r="D359" s="125" t="s">
        <v>1108</v>
      </c>
      <c r="E359" s="119" t="s">
        <v>2611</v>
      </c>
      <c r="F359" s="100" t="s">
        <v>2291</v>
      </c>
      <c r="G359" s="100" t="s">
        <v>1486</v>
      </c>
      <c r="H359" s="43" t="str">
        <f t="shared" si="99"/>
        <v>Rural MRSA Central</v>
      </c>
      <c r="I359" s="45">
        <f>INDEX('Fee Calc'!M:M,MATCH(C:C,'Fee Calc'!F:F,0))</f>
        <v>990476.13340054208</v>
      </c>
      <c r="J359" s="45">
        <f>INDEX('Fee Calc'!L:L,MATCH(C:C,'Fee Calc'!F:F,0))</f>
        <v>2151704.0809022002</v>
      </c>
      <c r="K359" s="45">
        <f t="shared" si="100"/>
        <v>3142180.2143027424</v>
      </c>
      <c r="L359" s="45">
        <v>152262.88</v>
      </c>
      <c r="M359" s="45">
        <v>392068.15</v>
      </c>
      <c r="N359" s="45">
        <f t="shared" si="101"/>
        <v>544331.03</v>
      </c>
      <c r="O359" s="45">
        <v>1053310.0165517363</v>
      </c>
      <c r="P359" s="45">
        <v>1236626.0675538965</v>
      </c>
      <c r="Q359" s="45">
        <f t="shared" si="102"/>
        <v>2289936.0841056327</v>
      </c>
      <c r="R359" s="45" t="str">
        <f t="shared" si="103"/>
        <v>Yes</v>
      </c>
      <c r="S359" s="46" t="str">
        <f t="shared" si="103"/>
        <v>Yes</v>
      </c>
      <c r="T359" s="47">
        <f>ROUND(INDEX(Summary!H:H,MATCH(H:H,Summary!A:A,0)),2)</f>
        <v>0.09</v>
      </c>
      <c r="U359" s="47">
        <f>ROUND(INDEX(Summary!I:I,MATCH(H:H,Summary!A:A,0)),2)</f>
        <v>0.09</v>
      </c>
      <c r="V359" s="81">
        <f t="shared" si="104"/>
        <v>89142.852006048779</v>
      </c>
      <c r="W359" s="81">
        <f t="shared" si="104"/>
        <v>193653.36728119801</v>
      </c>
      <c r="X359" s="45">
        <f t="shared" si="105"/>
        <v>282796.21928724681</v>
      </c>
      <c r="Y359" s="45" t="s">
        <v>2752</v>
      </c>
      <c r="Z359" s="45" t="str">
        <f t="shared" si="106"/>
        <v>Yes</v>
      </c>
      <c r="AA359" s="45" t="str">
        <f t="shared" si="106"/>
        <v>Yes</v>
      </c>
      <c r="AB359" s="45" t="str">
        <f t="shared" si="107"/>
        <v>Yes</v>
      </c>
      <c r="AC359" s="82">
        <f t="shared" si="108"/>
        <v>0.68</v>
      </c>
      <c r="AD359" s="82">
        <f t="shared" si="108"/>
        <v>0.34</v>
      </c>
      <c r="AE359" s="45">
        <f t="shared" si="109"/>
        <v>673523.77071236866</v>
      </c>
      <c r="AF359" s="45">
        <f t="shared" si="109"/>
        <v>731579.38750674808</v>
      </c>
      <c r="AG359" s="45">
        <f t="shared" si="110"/>
        <v>1405103.1582191167</v>
      </c>
      <c r="AH359" s="47">
        <f>IFERROR(ROUNDDOWN(INDEX('90% of ACR'!K:K,MATCH(H:H,'90% of ACR'!A:A,0))*IF(I359&gt;0,IF(O359&gt;0,$R$4*MAX(O359-V359,0),0),0)/I359,2),0)</f>
        <v>0.34</v>
      </c>
      <c r="AI359" s="82">
        <f>IFERROR(ROUNDDOWN(INDEX('90% of ACR'!R:R,MATCH(H:H,'90% of ACR'!A:A,0))*IF(J359&gt;0,IF(P359&gt;0,$R$4*MAX(P359-W359,0),0),0)/J359,2),0)</f>
        <v>0.33</v>
      </c>
      <c r="AJ359" s="45">
        <f t="shared" si="111"/>
        <v>336761.88535618433</v>
      </c>
      <c r="AK359" s="45">
        <f t="shared" si="111"/>
        <v>710062.34669772605</v>
      </c>
      <c r="AL359" s="47">
        <f t="shared" si="112"/>
        <v>0.43000000000000005</v>
      </c>
      <c r="AM359" s="47">
        <f t="shared" si="112"/>
        <v>0.42000000000000004</v>
      </c>
      <c r="AN359" s="83">
        <f>IFERROR(INDEX('Fee Calc'!P:P,MATCH(C359,'Fee Calc'!F:F,0)),0)</f>
        <v>1329620.4513411573</v>
      </c>
      <c r="AO359" s="83">
        <f>IFERROR(INDEX('Fee Calc'!Q:Q,MATCH(C359,'Fee Calc'!F:F,0)),0)</f>
        <v>82016.854544413567</v>
      </c>
      <c r="AP359" s="83">
        <f t="shared" si="113"/>
        <v>1411637.3058855708</v>
      </c>
      <c r="AQ359" s="70">
        <f t="shared" si="114"/>
        <v>602814.30200692709</v>
      </c>
      <c r="AR359" s="70">
        <f t="shared" si="115"/>
        <v>301407.15100346354</v>
      </c>
      <c r="AS359" s="70">
        <f t="shared" si="116"/>
        <v>301407.15100346354</v>
      </c>
    </row>
    <row r="360" spans="1:45">
      <c r="A360" s="104" t="s">
        <v>1113</v>
      </c>
      <c r="B360" s="124" t="s">
        <v>1113</v>
      </c>
      <c r="C360" s="31" t="s">
        <v>1114</v>
      </c>
      <c r="D360" s="125" t="s">
        <v>1114</v>
      </c>
      <c r="E360" s="119" t="s">
        <v>2612</v>
      </c>
      <c r="F360" s="100" t="s">
        <v>2279</v>
      </c>
      <c r="G360" s="100" t="s">
        <v>223</v>
      </c>
      <c r="H360" s="43" t="str">
        <f t="shared" si="99"/>
        <v>Urban Dallas</v>
      </c>
      <c r="I360" s="45">
        <f>INDEX('Fee Calc'!M:M,MATCH(C:C,'Fee Calc'!F:F,0))</f>
        <v>21386873.073568486</v>
      </c>
      <c r="J360" s="45">
        <f>INDEX('Fee Calc'!L:L,MATCH(C:C,'Fee Calc'!F:F,0))</f>
        <v>5042880.7547059376</v>
      </c>
      <c r="K360" s="45">
        <f t="shared" si="100"/>
        <v>26429753.828274421</v>
      </c>
      <c r="L360" s="45">
        <v>6080814.1500000004</v>
      </c>
      <c r="M360" s="45">
        <v>1843083.74</v>
      </c>
      <c r="N360" s="45">
        <f t="shared" si="101"/>
        <v>7923897.8900000006</v>
      </c>
      <c r="O360" s="45">
        <v>41272627.99298691</v>
      </c>
      <c r="P360" s="45">
        <v>4187257.6189224226</v>
      </c>
      <c r="Q360" s="45">
        <f t="shared" si="102"/>
        <v>45459885.61190933</v>
      </c>
      <c r="R360" s="45" t="str">
        <f t="shared" si="103"/>
        <v>Yes</v>
      </c>
      <c r="S360" s="46" t="str">
        <f t="shared" si="103"/>
        <v>Yes</v>
      </c>
      <c r="T360" s="47">
        <f>ROUND(INDEX(Summary!H:H,MATCH(H:H,Summary!A:A,0)),2)</f>
        <v>0.54</v>
      </c>
      <c r="U360" s="47">
        <f>ROUND(INDEX(Summary!I:I,MATCH(H:H,Summary!A:A,0)),2)</f>
        <v>0.27</v>
      </c>
      <c r="V360" s="81">
        <f t="shared" si="104"/>
        <v>11548911.459726984</v>
      </c>
      <c r="W360" s="81">
        <f t="shared" si="104"/>
        <v>1361577.8037706031</v>
      </c>
      <c r="X360" s="45">
        <f t="shared" si="105"/>
        <v>12910489.263497587</v>
      </c>
      <c r="Y360" s="45" t="s">
        <v>2752</v>
      </c>
      <c r="Z360" s="45" t="str">
        <f t="shared" si="106"/>
        <v>Yes</v>
      </c>
      <c r="AA360" s="45" t="str">
        <f t="shared" si="106"/>
        <v>Yes</v>
      </c>
      <c r="AB360" s="45" t="str">
        <f t="shared" si="107"/>
        <v>Yes</v>
      </c>
      <c r="AC360" s="82">
        <f t="shared" si="108"/>
        <v>0.97</v>
      </c>
      <c r="AD360" s="82">
        <f t="shared" si="108"/>
        <v>0.39</v>
      </c>
      <c r="AE360" s="45">
        <f t="shared" si="109"/>
        <v>20745266.881361432</v>
      </c>
      <c r="AF360" s="45">
        <f t="shared" si="109"/>
        <v>1966723.4943353157</v>
      </c>
      <c r="AG360" s="45">
        <f t="shared" si="110"/>
        <v>22711990.375696748</v>
      </c>
      <c r="AH360" s="47">
        <f>IFERROR(ROUNDDOWN(INDEX('90% of ACR'!K:K,MATCH(H:H,'90% of ACR'!A:A,0))*IF(I360&gt;0,IF(O360&gt;0,$R$4*MAX(O360-V360,0),0),0)/I360,2),0)</f>
        <v>0.96</v>
      </c>
      <c r="AI360" s="82">
        <f>IFERROR(ROUNDDOWN(INDEX('90% of ACR'!R:R,MATCH(H:H,'90% of ACR'!A:A,0))*IF(J360&gt;0,IF(P360&gt;0,$R$4*MAX(P360-W360,0),0),0)/J360,2),0)</f>
        <v>0.39</v>
      </c>
      <c r="AJ360" s="45">
        <f t="shared" si="111"/>
        <v>20531398.150625747</v>
      </c>
      <c r="AK360" s="45">
        <f t="shared" si="111"/>
        <v>1966723.4943353157</v>
      </c>
      <c r="AL360" s="47">
        <f t="shared" si="112"/>
        <v>1.5</v>
      </c>
      <c r="AM360" s="47">
        <f t="shared" si="112"/>
        <v>0.66</v>
      </c>
      <c r="AN360" s="83">
        <f>IFERROR(INDEX('Fee Calc'!P:P,MATCH(C360,'Fee Calc'!F:F,0)),0)</f>
        <v>35408610.90845865</v>
      </c>
      <c r="AO360" s="83">
        <f>IFERROR(INDEX('Fee Calc'!Q:Q,MATCH(C360,'Fee Calc'!F:F,0)),0)</f>
        <v>2193466.8868067865</v>
      </c>
      <c r="AP360" s="83">
        <f t="shared" si="113"/>
        <v>37602077.795265436</v>
      </c>
      <c r="AQ360" s="70">
        <f t="shared" si="114"/>
        <v>16057290.485067789</v>
      </c>
      <c r="AR360" s="70">
        <f t="shared" si="115"/>
        <v>8028645.2425338943</v>
      </c>
      <c r="AS360" s="70">
        <f t="shared" si="116"/>
        <v>8028645.2425338943</v>
      </c>
    </row>
    <row r="361" spans="1:45">
      <c r="A361" s="104" t="s">
        <v>1119</v>
      </c>
      <c r="B361" s="124" t="s">
        <v>1119</v>
      </c>
      <c r="C361" s="31" t="s">
        <v>1120</v>
      </c>
      <c r="D361" s="125" t="s">
        <v>1120</v>
      </c>
      <c r="E361" s="119" t="s">
        <v>2613</v>
      </c>
      <c r="F361" s="100" t="s">
        <v>2279</v>
      </c>
      <c r="G361" s="100" t="s">
        <v>223</v>
      </c>
      <c r="H361" s="43" t="str">
        <f t="shared" si="99"/>
        <v>Urban Dallas</v>
      </c>
      <c r="I361" s="45">
        <f>INDEX('Fee Calc'!M:M,MATCH(C:C,'Fee Calc'!F:F,0))</f>
        <v>131397.70163337878</v>
      </c>
      <c r="J361" s="45">
        <f>INDEX('Fee Calc'!L:L,MATCH(C:C,'Fee Calc'!F:F,0))</f>
        <v>1691671.8277390425</v>
      </c>
      <c r="K361" s="45">
        <f t="shared" si="100"/>
        <v>1823069.5293724213</v>
      </c>
      <c r="L361" s="45">
        <v>216387.12</v>
      </c>
      <c r="M361" s="45">
        <v>113655.73</v>
      </c>
      <c r="N361" s="45">
        <f t="shared" si="101"/>
        <v>330042.84999999998</v>
      </c>
      <c r="O361" s="45">
        <v>563581.56228946149</v>
      </c>
      <c r="P361" s="45">
        <v>1582758.7820774911</v>
      </c>
      <c r="Q361" s="45">
        <f t="shared" si="102"/>
        <v>2146340.3443669528</v>
      </c>
      <c r="R361" s="45" t="str">
        <f t="shared" si="103"/>
        <v>Yes</v>
      </c>
      <c r="S361" s="46" t="str">
        <f t="shared" si="103"/>
        <v>Yes</v>
      </c>
      <c r="T361" s="47">
        <f>ROUND(INDEX(Summary!H:H,MATCH(H:H,Summary!A:A,0)),2)</f>
        <v>0.54</v>
      </c>
      <c r="U361" s="47">
        <f>ROUND(INDEX(Summary!I:I,MATCH(H:H,Summary!A:A,0)),2)</f>
        <v>0.27</v>
      </c>
      <c r="V361" s="81">
        <f t="shared" si="104"/>
        <v>70954.758882024544</v>
      </c>
      <c r="W361" s="81">
        <f t="shared" si="104"/>
        <v>456751.39348954149</v>
      </c>
      <c r="X361" s="45">
        <f t="shared" si="105"/>
        <v>527706.15237156604</v>
      </c>
      <c r="Y361" s="45" t="s">
        <v>2752</v>
      </c>
      <c r="Z361" s="45" t="str">
        <f t="shared" si="106"/>
        <v>Yes</v>
      </c>
      <c r="AA361" s="45" t="str">
        <f t="shared" si="106"/>
        <v>Yes</v>
      </c>
      <c r="AB361" s="45" t="str">
        <f t="shared" si="107"/>
        <v>Yes</v>
      </c>
      <c r="AC361" s="82">
        <f t="shared" si="108"/>
        <v>2.61</v>
      </c>
      <c r="AD361" s="82">
        <f t="shared" si="108"/>
        <v>0.46</v>
      </c>
      <c r="AE361" s="45">
        <f t="shared" si="109"/>
        <v>342948.00126311858</v>
      </c>
      <c r="AF361" s="45">
        <f t="shared" si="109"/>
        <v>778169.04075995961</v>
      </c>
      <c r="AG361" s="45">
        <f t="shared" si="110"/>
        <v>1121117.0420230781</v>
      </c>
      <c r="AH361" s="47">
        <f>IFERROR(ROUNDDOWN(INDEX('90% of ACR'!K:K,MATCH(H:H,'90% of ACR'!A:A,0))*IF(I361&gt;0,IF(O361&gt;0,$R$4*MAX(O361-V361,0),0),0)/I361,2),0)</f>
        <v>2.61</v>
      </c>
      <c r="AI361" s="82">
        <f>IFERROR(ROUNDDOWN(INDEX('90% of ACR'!R:R,MATCH(H:H,'90% of ACR'!A:A,0))*IF(J361&gt;0,IF(P361&gt;0,$R$4*MAX(P361-W361,0),0),0)/J361,2),0)</f>
        <v>0.46</v>
      </c>
      <c r="AJ361" s="45">
        <f t="shared" si="111"/>
        <v>342948.00126311858</v>
      </c>
      <c r="AK361" s="45">
        <f t="shared" si="111"/>
        <v>778169.04075995961</v>
      </c>
      <c r="AL361" s="47">
        <f t="shared" si="112"/>
        <v>3.15</v>
      </c>
      <c r="AM361" s="47">
        <f t="shared" si="112"/>
        <v>0.73</v>
      </c>
      <c r="AN361" s="83">
        <f>IFERROR(INDEX('Fee Calc'!P:P,MATCH(C361,'Fee Calc'!F:F,0)),0)</f>
        <v>1648823.1943946441</v>
      </c>
      <c r="AO361" s="83">
        <f>IFERROR(INDEX('Fee Calc'!Q:Q,MATCH(C361,'Fee Calc'!F:F,0)),0)</f>
        <v>102560.93768516622</v>
      </c>
      <c r="AP361" s="83">
        <f t="shared" si="113"/>
        <v>1751384.1320798104</v>
      </c>
      <c r="AQ361" s="70">
        <f t="shared" si="114"/>
        <v>747897.06869030558</v>
      </c>
      <c r="AR361" s="70">
        <f t="shared" si="115"/>
        <v>373948.53434515279</v>
      </c>
      <c r="AS361" s="70">
        <f t="shared" si="116"/>
        <v>373948.53434515279</v>
      </c>
    </row>
    <row r="362" spans="1:45">
      <c r="A362" s="104" t="s">
        <v>478</v>
      </c>
      <c r="B362" s="124" t="s">
        <v>478</v>
      </c>
      <c r="C362" s="31" t="s">
        <v>479</v>
      </c>
      <c r="D362" s="125" t="s">
        <v>479</v>
      </c>
      <c r="E362" s="119" t="s">
        <v>2614</v>
      </c>
      <c r="F362" s="100" t="s">
        <v>2279</v>
      </c>
      <c r="G362" s="100" t="s">
        <v>223</v>
      </c>
      <c r="H362" s="43" t="str">
        <f t="shared" si="99"/>
        <v>Urban Dallas</v>
      </c>
      <c r="I362" s="45">
        <f>INDEX('Fee Calc'!M:M,MATCH(C:C,'Fee Calc'!F:F,0))</f>
        <v>9655956.8661392014</v>
      </c>
      <c r="J362" s="45">
        <f>INDEX('Fee Calc'!L:L,MATCH(C:C,'Fee Calc'!F:F,0))</f>
        <v>1857844.6536900592</v>
      </c>
      <c r="K362" s="45">
        <f t="shared" si="100"/>
        <v>11513801.51982926</v>
      </c>
      <c r="L362" s="45">
        <v>4101129.92</v>
      </c>
      <c r="M362" s="45">
        <v>508417.81</v>
      </c>
      <c r="N362" s="45">
        <f t="shared" si="101"/>
        <v>4609547.7299999995</v>
      </c>
      <c r="O362" s="45">
        <v>25656830.497637514</v>
      </c>
      <c r="P362" s="45">
        <v>1755825.6615704787</v>
      </c>
      <c r="Q362" s="45">
        <f t="shared" si="102"/>
        <v>27412656.159207992</v>
      </c>
      <c r="R362" s="45" t="str">
        <f t="shared" si="103"/>
        <v>Yes</v>
      </c>
      <c r="S362" s="46" t="str">
        <f t="shared" si="103"/>
        <v>Yes</v>
      </c>
      <c r="T362" s="47">
        <f>ROUND(INDEX(Summary!H:H,MATCH(H:H,Summary!A:A,0)),2)</f>
        <v>0.54</v>
      </c>
      <c r="U362" s="47">
        <f>ROUND(INDEX(Summary!I:I,MATCH(H:H,Summary!A:A,0)),2)</f>
        <v>0.27</v>
      </c>
      <c r="V362" s="81">
        <f t="shared" si="104"/>
        <v>5214216.7077151695</v>
      </c>
      <c r="W362" s="81">
        <f t="shared" si="104"/>
        <v>501618.05649631604</v>
      </c>
      <c r="X362" s="45">
        <f t="shared" si="105"/>
        <v>5715834.7642114852</v>
      </c>
      <c r="Y362" s="45" t="s">
        <v>2752</v>
      </c>
      <c r="Z362" s="45" t="str">
        <f t="shared" si="106"/>
        <v>Yes</v>
      </c>
      <c r="AA362" s="45" t="str">
        <f t="shared" si="106"/>
        <v>Yes</v>
      </c>
      <c r="AB362" s="45" t="str">
        <f t="shared" si="107"/>
        <v>Yes</v>
      </c>
      <c r="AC362" s="82">
        <f t="shared" si="108"/>
        <v>1.47</v>
      </c>
      <c r="AD362" s="82">
        <f t="shared" si="108"/>
        <v>0.47</v>
      </c>
      <c r="AE362" s="45">
        <f t="shared" si="109"/>
        <v>14194256.593224626</v>
      </c>
      <c r="AF362" s="45">
        <f t="shared" si="109"/>
        <v>873186.98723432783</v>
      </c>
      <c r="AG362" s="45">
        <f t="shared" si="110"/>
        <v>15067443.580458954</v>
      </c>
      <c r="AH362" s="47">
        <f>IFERROR(ROUNDDOWN(INDEX('90% of ACR'!K:K,MATCH(H:H,'90% of ACR'!A:A,0))*IF(I362&gt;0,IF(O362&gt;0,$R$4*MAX(O362-V362,0),0),0)/I362,2),0)</f>
        <v>1.47</v>
      </c>
      <c r="AI362" s="82">
        <f>IFERROR(ROUNDDOWN(INDEX('90% of ACR'!R:R,MATCH(H:H,'90% of ACR'!A:A,0))*IF(J362&gt;0,IF(P362&gt;0,$R$4*MAX(P362-W362,0),0),0)/J362,2),0)</f>
        <v>0.47</v>
      </c>
      <c r="AJ362" s="45">
        <f t="shared" si="111"/>
        <v>14194256.593224626</v>
      </c>
      <c r="AK362" s="45">
        <f t="shared" si="111"/>
        <v>873186.98723432783</v>
      </c>
      <c r="AL362" s="47">
        <f t="shared" si="112"/>
        <v>2.0099999999999998</v>
      </c>
      <c r="AM362" s="47">
        <f t="shared" si="112"/>
        <v>0.74</v>
      </c>
      <c r="AN362" s="83">
        <f>IFERROR(INDEX('Fee Calc'!P:P,MATCH(C362,'Fee Calc'!F:F,0)),0)</f>
        <v>20783278.344670437</v>
      </c>
      <c r="AO362" s="83">
        <f>IFERROR(INDEX('Fee Calc'!Q:Q,MATCH(C362,'Fee Calc'!F:F,0)),0)</f>
        <v>1274333.9093299478</v>
      </c>
      <c r="AP362" s="83">
        <f t="shared" si="113"/>
        <v>22057612.254000384</v>
      </c>
      <c r="AQ362" s="70">
        <f t="shared" si="114"/>
        <v>9419306.276050292</v>
      </c>
      <c r="AR362" s="70">
        <f t="shared" si="115"/>
        <v>4709653.138025146</v>
      </c>
      <c r="AS362" s="70">
        <f t="shared" si="116"/>
        <v>4709653.138025146</v>
      </c>
    </row>
    <row r="363" spans="1:45">
      <c r="A363" s="104" t="s">
        <v>995</v>
      </c>
      <c r="B363" s="124" t="s">
        <v>995</v>
      </c>
      <c r="C363" s="31" t="s">
        <v>996</v>
      </c>
      <c r="D363" s="125" t="s">
        <v>996</v>
      </c>
      <c r="E363" s="119" t="s">
        <v>2581</v>
      </c>
      <c r="F363" s="100" t="s">
        <v>2279</v>
      </c>
      <c r="G363" s="100" t="s">
        <v>1486</v>
      </c>
      <c r="H363" s="43" t="str">
        <f t="shared" si="99"/>
        <v>Urban MRSA Central</v>
      </c>
      <c r="I363" s="45">
        <f>INDEX('Fee Calc'!M:M,MATCH(C:C,'Fee Calc'!F:F,0))</f>
        <v>12323034.648686074</v>
      </c>
      <c r="J363" s="45">
        <f>INDEX('Fee Calc'!L:L,MATCH(C:C,'Fee Calc'!F:F,0))</f>
        <v>4858466.7439322639</v>
      </c>
      <c r="K363" s="45">
        <f t="shared" si="100"/>
        <v>17181501.392618336</v>
      </c>
      <c r="L363" s="45">
        <v>4441514.75</v>
      </c>
      <c r="M363" s="45">
        <v>5284441.29</v>
      </c>
      <c r="N363" s="45">
        <f t="shared" si="101"/>
        <v>9725956.0399999991</v>
      </c>
      <c r="O363" s="45">
        <v>10076311.671155244</v>
      </c>
      <c r="P363" s="45">
        <v>7283865.0300804581</v>
      </c>
      <c r="Q363" s="45">
        <f t="shared" si="102"/>
        <v>17360176.701235704</v>
      </c>
      <c r="R363" s="45" t="str">
        <f t="shared" si="103"/>
        <v>Yes</v>
      </c>
      <c r="S363" s="46" t="str">
        <f t="shared" si="103"/>
        <v>Yes</v>
      </c>
      <c r="T363" s="47">
        <f>ROUND(INDEX(Summary!H:H,MATCH(H:H,Summary!A:A,0)),2)</f>
        <v>0.43</v>
      </c>
      <c r="U363" s="47">
        <f>ROUND(INDEX(Summary!I:I,MATCH(H:H,Summary!A:A,0)),2)</f>
        <v>0.92</v>
      </c>
      <c r="V363" s="81">
        <f t="shared" si="104"/>
        <v>5298904.8989350116</v>
      </c>
      <c r="W363" s="81">
        <f t="shared" si="104"/>
        <v>4469789.4044176834</v>
      </c>
      <c r="X363" s="45">
        <f t="shared" si="105"/>
        <v>9768694.303352695</v>
      </c>
      <c r="Y363" s="45" t="s">
        <v>2752</v>
      </c>
      <c r="Z363" s="45" t="str">
        <f t="shared" si="106"/>
        <v>Yes</v>
      </c>
      <c r="AA363" s="45" t="str">
        <f t="shared" si="106"/>
        <v>No</v>
      </c>
      <c r="AB363" s="45" t="str">
        <f t="shared" si="107"/>
        <v>Yes</v>
      </c>
      <c r="AC363" s="82">
        <f t="shared" si="108"/>
        <v>0.27</v>
      </c>
      <c r="AD363" s="82">
        <f t="shared" si="108"/>
        <v>0.4</v>
      </c>
      <c r="AE363" s="45">
        <f t="shared" si="109"/>
        <v>3327219.3551452402</v>
      </c>
      <c r="AF363" s="45">
        <f t="shared" si="109"/>
        <v>1943386.6975729056</v>
      </c>
      <c r="AG363" s="45">
        <f t="shared" si="110"/>
        <v>5270606.0527181458</v>
      </c>
      <c r="AH363" s="47">
        <f>IFERROR(ROUNDDOWN(INDEX('90% of ACR'!K:K,MATCH(H:H,'90% of ACR'!A:A,0))*IF(I363&gt;0,IF(O363&gt;0,$R$4*MAX(O363-V363,0),0),0)/I363,2),0)</f>
        <v>0.27</v>
      </c>
      <c r="AI363" s="82">
        <f>IFERROR(ROUNDDOWN(INDEX('90% of ACR'!R:R,MATCH(H:H,'90% of ACR'!A:A,0))*IF(J363&gt;0,IF(P363&gt;0,$R$4*MAX(P363-W363,0),0),0)/J363,2),0)</f>
        <v>0</v>
      </c>
      <c r="AJ363" s="45">
        <f t="shared" si="111"/>
        <v>3327219.3551452402</v>
      </c>
      <c r="AK363" s="45">
        <f t="shared" si="111"/>
        <v>0</v>
      </c>
      <c r="AL363" s="47">
        <f t="shared" si="112"/>
        <v>0.7</v>
      </c>
      <c r="AM363" s="47">
        <f t="shared" si="112"/>
        <v>0.92</v>
      </c>
      <c r="AN363" s="83">
        <f>IFERROR(INDEX('Fee Calc'!P:P,MATCH(C363,'Fee Calc'!F:F,0)),0)</f>
        <v>13095913.658497933</v>
      </c>
      <c r="AO363" s="83">
        <f>IFERROR(INDEX('Fee Calc'!Q:Q,MATCH(C363,'Fee Calc'!F:F,0)),0)</f>
        <v>813147.06511131348</v>
      </c>
      <c r="AP363" s="83">
        <f t="shared" si="113"/>
        <v>13909060.723609246</v>
      </c>
      <c r="AQ363" s="70">
        <f t="shared" si="114"/>
        <v>5939614.0189243043</v>
      </c>
      <c r="AR363" s="70">
        <f t="shared" si="115"/>
        <v>2969807.0094621521</v>
      </c>
      <c r="AS363" s="70">
        <f t="shared" si="116"/>
        <v>2969807.0094621521</v>
      </c>
    </row>
    <row r="364" spans="1:45">
      <c r="A364" s="104" t="s">
        <v>428</v>
      </c>
      <c r="B364" s="124" t="s">
        <v>428</v>
      </c>
      <c r="C364" s="31" t="s">
        <v>429</v>
      </c>
      <c r="D364" s="125" t="s">
        <v>429</v>
      </c>
      <c r="E364" s="119" t="s">
        <v>2615</v>
      </c>
      <c r="F364" s="100" t="s">
        <v>2279</v>
      </c>
      <c r="G364" s="100" t="s">
        <v>223</v>
      </c>
      <c r="H364" s="43" t="str">
        <f t="shared" si="99"/>
        <v>Urban Dallas</v>
      </c>
      <c r="I364" s="45">
        <f>INDEX('Fee Calc'!M:M,MATCH(C:C,'Fee Calc'!F:F,0))</f>
        <v>484026.49575313157</v>
      </c>
      <c r="J364" s="45">
        <f>INDEX('Fee Calc'!L:L,MATCH(C:C,'Fee Calc'!F:F,0))</f>
        <v>898231.77668668237</v>
      </c>
      <c r="K364" s="45">
        <f t="shared" si="100"/>
        <v>1382258.2724398139</v>
      </c>
      <c r="L364" s="45">
        <v>313621.21000000002</v>
      </c>
      <c r="M364" s="45">
        <v>149516.87</v>
      </c>
      <c r="N364" s="45">
        <f t="shared" si="101"/>
        <v>463138.08</v>
      </c>
      <c r="O364" s="45">
        <v>1089816.9964959552</v>
      </c>
      <c r="P364" s="45">
        <v>658653.0323987673</v>
      </c>
      <c r="Q364" s="45">
        <f t="shared" si="102"/>
        <v>1748470.0288947225</v>
      </c>
      <c r="R364" s="45" t="str">
        <f t="shared" si="103"/>
        <v>Yes</v>
      </c>
      <c r="S364" s="46" t="str">
        <f t="shared" si="103"/>
        <v>Yes</v>
      </c>
      <c r="T364" s="47">
        <f>ROUND(INDEX(Summary!H:H,MATCH(H:H,Summary!A:A,0)),2)</f>
        <v>0.54</v>
      </c>
      <c r="U364" s="47">
        <f>ROUND(INDEX(Summary!I:I,MATCH(H:H,Summary!A:A,0)),2)</f>
        <v>0.27</v>
      </c>
      <c r="V364" s="81">
        <f t="shared" si="104"/>
        <v>261374.30770669106</v>
      </c>
      <c r="W364" s="81">
        <f t="shared" si="104"/>
        <v>242522.57970540426</v>
      </c>
      <c r="X364" s="45">
        <f t="shared" si="105"/>
        <v>503896.88741209533</v>
      </c>
      <c r="Y364" s="45" t="s">
        <v>2752</v>
      </c>
      <c r="Z364" s="45" t="str">
        <f t="shared" si="106"/>
        <v>Yes</v>
      </c>
      <c r="AA364" s="45" t="str">
        <f t="shared" si="106"/>
        <v>Yes</v>
      </c>
      <c r="AB364" s="45" t="str">
        <f t="shared" si="107"/>
        <v>Yes</v>
      </c>
      <c r="AC364" s="82">
        <f t="shared" si="108"/>
        <v>1.19</v>
      </c>
      <c r="AD364" s="82">
        <f t="shared" si="108"/>
        <v>0.32</v>
      </c>
      <c r="AE364" s="45">
        <f t="shared" si="109"/>
        <v>575991.52994622651</v>
      </c>
      <c r="AF364" s="45">
        <f t="shared" si="109"/>
        <v>287434.16853973834</v>
      </c>
      <c r="AG364" s="45">
        <f t="shared" si="110"/>
        <v>863425.69848596491</v>
      </c>
      <c r="AH364" s="47">
        <f>IFERROR(ROUNDDOWN(INDEX('90% of ACR'!K:K,MATCH(H:H,'90% of ACR'!A:A,0))*IF(I364&gt;0,IF(O364&gt;0,$R$4*MAX(O364-V364,0),0),0)/I364,2),0)</f>
        <v>1.19</v>
      </c>
      <c r="AI364" s="82">
        <f>IFERROR(ROUNDDOWN(INDEX('90% of ACR'!R:R,MATCH(H:H,'90% of ACR'!A:A,0))*IF(J364&gt;0,IF(P364&gt;0,$R$4*MAX(P364-W364,0),0),0)/J364,2),0)</f>
        <v>0.32</v>
      </c>
      <c r="AJ364" s="45">
        <f t="shared" si="111"/>
        <v>575991.52994622651</v>
      </c>
      <c r="AK364" s="45">
        <f t="shared" si="111"/>
        <v>287434.16853973834</v>
      </c>
      <c r="AL364" s="47">
        <f t="shared" si="112"/>
        <v>1.73</v>
      </c>
      <c r="AM364" s="47">
        <f t="shared" si="112"/>
        <v>0.59000000000000008</v>
      </c>
      <c r="AN364" s="83">
        <f>IFERROR(INDEX('Fee Calc'!P:P,MATCH(C364,'Fee Calc'!F:F,0)),0)</f>
        <v>1367322.5858980604</v>
      </c>
      <c r="AO364" s="83">
        <f>IFERROR(INDEX('Fee Calc'!Q:Q,MATCH(C364,'Fee Calc'!F:F,0)),0)</f>
        <v>84894.493616717024</v>
      </c>
      <c r="AP364" s="83">
        <f t="shared" si="113"/>
        <v>1452217.0795147773</v>
      </c>
      <c r="AQ364" s="70">
        <f t="shared" si="114"/>
        <v>620143.1638993544</v>
      </c>
      <c r="AR364" s="70">
        <f t="shared" si="115"/>
        <v>310071.5819496772</v>
      </c>
      <c r="AS364" s="70">
        <f t="shared" si="116"/>
        <v>310071.5819496772</v>
      </c>
    </row>
    <row r="365" spans="1:45">
      <c r="A365" s="104" t="s">
        <v>1089</v>
      </c>
      <c r="B365" s="124" t="s">
        <v>1089</v>
      </c>
      <c r="C365" s="31" t="s">
        <v>1090</v>
      </c>
      <c r="D365" s="125" t="s">
        <v>1090</v>
      </c>
      <c r="E365" s="119" t="s">
        <v>2616</v>
      </c>
      <c r="F365" s="100" t="s">
        <v>2279</v>
      </c>
      <c r="G365" s="100" t="s">
        <v>1365</v>
      </c>
      <c r="H365" s="43" t="str">
        <f t="shared" si="99"/>
        <v>Urban Tarrant</v>
      </c>
      <c r="I365" s="45">
        <f>INDEX('Fee Calc'!M:M,MATCH(C:C,'Fee Calc'!F:F,0))</f>
        <v>6104969.4865649948</v>
      </c>
      <c r="J365" s="45">
        <f>INDEX('Fee Calc'!L:L,MATCH(C:C,'Fee Calc'!F:F,0))</f>
        <v>4272423.6016061492</v>
      </c>
      <c r="K365" s="45">
        <f t="shared" si="100"/>
        <v>10377393.088171143</v>
      </c>
      <c r="L365" s="45">
        <v>4001340.67</v>
      </c>
      <c r="M365" s="45">
        <v>1231701.94</v>
      </c>
      <c r="N365" s="45">
        <f t="shared" si="101"/>
        <v>5233042.6099999994</v>
      </c>
      <c r="O365" s="45">
        <v>17725549.617659334</v>
      </c>
      <c r="P365" s="45">
        <v>4447294.0375115406</v>
      </c>
      <c r="Q365" s="45">
        <f t="shared" si="102"/>
        <v>22172843.655170873</v>
      </c>
      <c r="R365" s="45" t="str">
        <f t="shared" si="103"/>
        <v>Yes</v>
      </c>
      <c r="S365" s="46" t="str">
        <f t="shared" si="103"/>
        <v>Yes</v>
      </c>
      <c r="T365" s="47">
        <f>ROUND(INDEX(Summary!H:H,MATCH(H:H,Summary!A:A,0)),2)</f>
        <v>0.74</v>
      </c>
      <c r="U365" s="47">
        <f>ROUND(INDEX(Summary!I:I,MATCH(H:H,Summary!A:A,0)),2)</f>
        <v>0.49</v>
      </c>
      <c r="V365" s="81">
        <f t="shared" si="104"/>
        <v>4517677.4200580958</v>
      </c>
      <c r="W365" s="81">
        <f t="shared" si="104"/>
        <v>2093487.564787013</v>
      </c>
      <c r="X365" s="45">
        <f t="shared" si="105"/>
        <v>6611164.9848451093</v>
      </c>
      <c r="Y365" s="45" t="s">
        <v>2752</v>
      </c>
      <c r="Z365" s="45" t="str">
        <f t="shared" si="106"/>
        <v>Yes</v>
      </c>
      <c r="AA365" s="45" t="str">
        <f t="shared" si="106"/>
        <v>Yes</v>
      </c>
      <c r="AB365" s="45" t="str">
        <f t="shared" si="107"/>
        <v>Yes</v>
      </c>
      <c r="AC365" s="82">
        <f t="shared" si="108"/>
        <v>1.51</v>
      </c>
      <c r="AD365" s="82">
        <f t="shared" si="108"/>
        <v>0.38</v>
      </c>
      <c r="AE365" s="45">
        <f t="shared" si="109"/>
        <v>9218503.9247131422</v>
      </c>
      <c r="AF365" s="45">
        <f t="shared" si="109"/>
        <v>1623520.9686103368</v>
      </c>
      <c r="AG365" s="45">
        <f t="shared" si="110"/>
        <v>10842024.893323479</v>
      </c>
      <c r="AH365" s="47">
        <f>IFERROR(ROUNDDOWN(INDEX('90% of ACR'!K:K,MATCH(H:H,'90% of ACR'!A:A,0))*IF(I365&gt;0,IF(O365&gt;0,$R$4*MAX(O365-V365,0),0),0)/I365,2),0)</f>
        <v>1.5</v>
      </c>
      <c r="AI365" s="82">
        <f>IFERROR(ROUNDDOWN(INDEX('90% of ACR'!R:R,MATCH(H:H,'90% of ACR'!A:A,0))*IF(J365&gt;0,IF(P365&gt;0,$R$4*MAX(P365-W365,0),0),0)/J365,2),0)</f>
        <v>0.37</v>
      </c>
      <c r="AJ365" s="45">
        <f t="shared" si="111"/>
        <v>9157454.2298474927</v>
      </c>
      <c r="AK365" s="45">
        <f t="shared" si="111"/>
        <v>1580796.7325942751</v>
      </c>
      <c r="AL365" s="47">
        <f t="shared" si="112"/>
        <v>2.2400000000000002</v>
      </c>
      <c r="AM365" s="47">
        <f t="shared" si="112"/>
        <v>0.86</v>
      </c>
      <c r="AN365" s="83">
        <f>IFERROR(INDEX('Fee Calc'!P:P,MATCH(C365,'Fee Calc'!F:F,0)),0)</f>
        <v>17349415.947286878</v>
      </c>
      <c r="AO365" s="83">
        <f>IFERROR(INDEX('Fee Calc'!Q:Q,MATCH(C365,'Fee Calc'!F:F,0)),0)</f>
        <v>1074385.3135410557</v>
      </c>
      <c r="AP365" s="83">
        <f t="shared" si="113"/>
        <v>18423801.260827933</v>
      </c>
      <c r="AQ365" s="70">
        <f t="shared" si="114"/>
        <v>7867552.7000138741</v>
      </c>
      <c r="AR365" s="70">
        <f t="shared" si="115"/>
        <v>3933776.350006937</v>
      </c>
      <c r="AS365" s="70">
        <f t="shared" si="116"/>
        <v>3933776.350006937</v>
      </c>
    </row>
    <row r="366" spans="1:45">
      <c r="A366" s="104" t="s">
        <v>1116</v>
      </c>
      <c r="B366" s="124" t="s">
        <v>1116</v>
      </c>
      <c r="C366" s="31" t="s">
        <v>1117</v>
      </c>
      <c r="D366" s="125" t="s">
        <v>1117</v>
      </c>
      <c r="E366" s="119" t="s">
        <v>2617</v>
      </c>
      <c r="F366" s="100" t="s">
        <v>2279</v>
      </c>
      <c r="G366" s="100" t="s">
        <v>1365</v>
      </c>
      <c r="H366" s="43" t="str">
        <f t="shared" si="99"/>
        <v>Urban Tarrant</v>
      </c>
      <c r="I366" s="45">
        <f>INDEX('Fee Calc'!M:M,MATCH(C:C,'Fee Calc'!F:F,0))</f>
        <v>6793418.3202809403</v>
      </c>
      <c r="J366" s="45">
        <f>INDEX('Fee Calc'!L:L,MATCH(C:C,'Fee Calc'!F:F,0))</f>
        <v>2988241.4952784376</v>
      </c>
      <c r="K366" s="45">
        <f t="shared" si="100"/>
        <v>9781659.8155593779</v>
      </c>
      <c r="L366" s="45">
        <v>3650113.58</v>
      </c>
      <c r="M366" s="45">
        <v>810572.7</v>
      </c>
      <c r="N366" s="45">
        <f t="shared" si="101"/>
        <v>4460686.28</v>
      </c>
      <c r="O366" s="45">
        <v>16565880.989735026</v>
      </c>
      <c r="P366" s="45">
        <v>2881789.1231313017</v>
      </c>
      <c r="Q366" s="45">
        <f t="shared" si="102"/>
        <v>19447670.112866327</v>
      </c>
      <c r="R366" s="45" t="str">
        <f t="shared" si="103"/>
        <v>Yes</v>
      </c>
      <c r="S366" s="46" t="str">
        <f t="shared" si="103"/>
        <v>Yes</v>
      </c>
      <c r="T366" s="47">
        <f>ROUND(INDEX(Summary!H:H,MATCH(H:H,Summary!A:A,0)),2)</f>
        <v>0.74</v>
      </c>
      <c r="U366" s="47">
        <f>ROUND(INDEX(Summary!I:I,MATCH(H:H,Summary!A:A,0)),2)</f>
        <v>0.49</v>
      </c>
      <c r="V366" s="81">
        <f t="shared" si="104"/>
        <v>5027129.5570078958</v>
      </c>
      <c r="W366" s="81">
        <f t="shared" si="104"/>
        <v>1464238.3326864345</v>
      </c>
      <c r="X366" s="45">
        <f t="shared" si="105"/>
        <v>6491367.8896943303</v>
      </c>
      <c r="Y366" s="45" t="s">
        <v>2752</v>
      </c>
      <c r="Z366" s="45" t="str">
        <f t="shared" si="106"/>
        <v>Yes</v>
      </c>
      <c r="AA366" s="45" t="str">
        <f t="shared" si="106"/>
        <v>Yes</v>
      </c>
      <c r="AB366" s="45" t="str">
        <f t="shared" si="107"/>
        <v>Yes</v>
      </c>
      <c r="AC366" s="82">
        <f t="shared" si="108"/>
        <v>1.18</v>
      </c>
      <c r="AD366" s="82">
        <f t="shared" si="108"/>
        <v>0.33</v>
      </c>
      <c r="AE366" s="45">
        <f t="shared" si="109"/>
        <v>8016233.6179315094</v>
      </c>
      <c r="AF366" s="45">
        <f t="shared" si="109"/>
        <v>986119.69344188448</v>
      </c>
      <c r="AG366" s="45">
        <f t="shared" si="110"/>
        <v>9002353.311373394</v>
      </c>
      <c r="AH366" s="47">
        <f>IFERROR(ROUNDDOWN(INDEX('90% of ACR'!K:K,MATCH(H:H,'90% of ACR'!A:A,0))*IF(I366&gt;0,IF(O366&gt;0,$R$4*MAX(O366-V366,0),0),0)/I366,2),0)</f>
        <v>1.18</v>
      </c>
      <c r="AI366" s="82">
        <f>IFERROR(ROUNDDOWN(INDEX('90% of ACR'!R:R,MATCH(H:H,'90% of ACR'!A:A,0))*IF(J366&gt;0,IF(P366&gt;0,$R$4*MAX(P366-W366,0),0),0)/J366,2),0)</f>
        <v>0.32</v>
      </c>
      <c r="AJ366" s="45">
        <f t="shared" si="111"/>
        <v>8016233.6179315094</v>
      </c>
      <c r="AK366" s="45">
        <f t="shared" si="111"/>
        <v>956237.27848910005</v>
      </c>
      <c r="AL366" s="47">
        <f t="shared" si="112"/>
        <v>1.92</v>
      </c>
      <c r="AM366" s="47">
        <f t="shared" si="112"/>
        <v>0.81</v>
      </c>
      <c r="AN366" s="83">
        <f>IFERROR(INDEX('Fee Calc'!P:P,MATCH(C366,'Fee Calc'!F:F,0)),0)</f>
        <v>15463838.78611494</v>
      </c>
      <c r="AO366" s="83">
        <f>IFERROR(INDEX('Fee Calc'!Q:Q,MATCH(C366,'Fee Calc'!F:F,0)),0)</f>
        <v>955392.88426042255</v>
      </c>
      <c r="AP366" s="83">
        <f t="shared" si="113"/>
        <v>16419231.670375362</v>
      </c>
      <c r="AQ366" s="70">
        <f t="shared" si="114"/>
        <v>7011537.3386637317</v>
      </c>
      <c r="AR366" s="70">
        <f t="shared" si="115"/>
        <v>3505768.6693318659</v>
      </c>
      <c r="AS366" s="70">
        <f t="shared" si="116"/>
        <v>3505768.6693318659</v>
      </c>
    </row>
    <row r="367" spans="1:45">
      <c r="A367" s="104" t="s">
        <v>1092</v>
      </c>
      <c r="B367" s="124" t="s">
        <v>1092</v>
      </c>
      <c r="C367" s="31" t="s">
        <v>1093</v>
      </c>
      <c r="D367" s="125" t="s">
        <v>1093</v>
      </c>
      <c r="E367" s="119" t="s">
        <v>2618</v>
      </c>
      <c r="F367" s="100" t="s">
        <v>2279</v>
      </c>
      <c r="G367" s="100" t="s">
        <v>1365</v>
      </c>
      <c r="H367" s="43" t="str">
        <f t="shared" si="99"/>
        <v>Urban Tarrant</v>
      </c>
      <c r="I367" s="45">
        <f>INDEX('Fee Calc'!M:M,MATCH(C:C,'Fee Calc'!F:F,0))</f>
        <v>2311439.7024718612</v>
      </c>
      <c r="J367" s="45">
        <f>INDEX('Fee Calc'!L:L,MATCH(C:C,'Fee Calc'!F:F,0))</f>
        <v>1328132.1054120567</v>
      </c>
      <c r="K367" s="45">
        <f t="shared" si="100"/>
        <v>3639571.8078839178</v>
      </c>
      <c r="L367" s="45">
        <v>1668765.59</v>
      </c>
      <c r="M367" s="45">
        <v>251292.72</v>
      </c>
      <c r="N367" s="45">
        <f t="shared" si="101"/>
        <v>1920058.31</v>
      </c>
      <c r="O367" s="45">
        <v>6119349.9721055515</v>
      </c>
      <c r="P367" s="45">
        <v>1167275.675732418</v>
      </c>
      <c r="Q367" s="45">
        <f t="shared" si="102"/>
        <v>7286625.6478379695</v>
      </c>
      <c r="R367" s="45" t="str">
        <f t="shared" si="103"/>
        <v>Yes</v>
      </c>
      <c r="S367" s="46" t="str">
        <f t="shared" si="103"/>
        <v>Yes</v>
      </c>
      <c r="T367" s="47">
        <f>ROUND(INDEX(Summary!H:H,MATCH(H:H,Summary!A:A,0)),2)</f>
        <v>0.74</v>
      </c>
      <c r="U367" s="47">
        <f>ROUND(INDEX(Summary!I:I,MATCH(H:H,Summary!A:A,0)),2)</f>
        <v>0.49</v>
      </c>
      <c r="V367" s="81">
        <f t="shared" si="104"/>
        <v>1710465.3798291772</v>
      </c>
      <c r="W367" s="81">
        <f t="shared" si="104"/>
        <v>650784.73165190779</v>
      </c>
      <c r="X367" s="45">
        <f t="shared" si="105"/>
        <v>2361250.111481085</v>
      </c>
      <c r="Y367" s="45" t="s">
        <v>2752</v>
      </c>
      <c r="Z367" s="45" t="str">
        <f t="shared" si="106"/>
        <v>Yes</v>
      </c>
      <c r="AA367" s="45" t="str">
        <f t="shared" si="106"/>
        <v>Yes</v>
      </c>
      <c r="AB367" s="45" t="str">
        <f t="shared" si="107"/>
        <v>Yes</v>
      </c>
      <c r="AC367" s="82">
        <f t="shared" si="108"/>
        <v>1.33</v>
      </c>
      <c r="AD367" s="82">
        <f t="shared" si="108"/>
        <v>0.27</v>
      </c>
      <c r="AE367" s="45">
        <f t="shared" si="109"/>
        <v>3074214.8042875757</v>
      </c>
      <c r="AF367" s="45">
        <f t="shared" si="109"/>
        <v>358595.66846125532</v>
      </c>
      <c r="AG367" s="45">
        <f t="shared" si="110"/>
        <v>3432810.4727488309</v>
      </c>
      <c r="AH367" s="47">
        <f>IFERROR(ROUNDDOWN(INDEX('90% of ACR'!K:K,MATCH(H:H,'90% of ACR'!A:A,0))*IF(I367&gt;0,IF(O367&gt;0,$R$4*MAX(O367-V367,0),0),0)/I367,2),0)</f>
        <v>1.32</v>
      </c>
      <c r="AI367" s="82">
        <f>IFERROR(ROUNDDOWN(INDEX('90% of ACR'!R:R,MATCH(H:H,'90% of ACR'!A:A,0))*IF(J367&gt;0,IF(P367&gt;0,$R$4*MAX(P367-W367,0),0),0)/J367,2),0)</f>
        <v>0.26</v>
      </c>
      <c r="AJ367" s="45">
        <f t="shared" si="111"/>
        <v>3051100.4072628571</v>
      </c>
      <c r="AK367" s="45">
        <f t="shared" si="111"/>
        <v>345314.34740713477</v>
      </c>
      <c r="AL367" s="47">
        <f t="shared" si="112"/>
        <v>2.06</v>
      </c>
      <c r="AM367" s="47">
        <f t="shared" si="112"/>
        <v>0.75</v>
      </c>
      <c r="AN367" s="83">
        <f>IFERROR(INDEX('Fee Calc'!P:P,MATCH(C367,'Fee Calc'!F:F,0)),0)</f>
        <v>5757664.8661510758</v>
      </c>
      <c r="AO367" s="83">
        <f>IFERROR(INDEX('Fee Calc'!Q:Q,MATCH(C367,'Fee Calc'!F:F,0)),0)</f>
        <v>354064.32517883996</v>
      </c>
      <c r="AP367" s="83">
        <f t="shared" si="113"/>
        <v>6111729.191329916</v>
      </c>
      <c r="AQ367" s="70">
        <f t="shared" si="114"/>
        <v>2609903.9400319969</v>
      </c>
      <c r="AR367" s="70">
        <f t="shared" si="115"/>
        <v>1304951.9700159985</v>
      </c>
      <c r="AS367" s="70">
        <f t="shared" si="116"/>
        <v>1304951.9700159985</v>
      </c>
    </row>
    <row r="368" spans="1:45">
      <c r="A368" s="104" t="s">
        <v>7</v>
      </c>
      <c r="B368" s="124" t="s">
        <v>7</v>
      </c>
      <c r="C368" s="31" t="s">
        <v>8</v>
      </c>
      <c r="D368" s="125" t="s">
        <v>8</v>
      </c>
      <c r="E368" s="119" t="s">
        <v>2619</v>
      </c>
      <c r="F368" s="100" t="s">
        <v>2279</v>
      </c>
      <c r="G368" s="100" t="s">
        <v>1365</v>
      </c>
      <c r="H368" s="43" t="str">
        <f t="shared" si="99"/>
        <v>Urban Tarrant</v>
      </c>
      <c r="I368" s="45">
        <f>INDEX('Fee Calc'!M:M,MATCH(C:C,'Fee Calc'!F:F,0))</f>
        <v>60666.927062735173</v>
      </c>
      <c r="J368" s="45">
        <f>INDEX('Fee Calc'!L:L,MATCH(C:C,'Fee Calc'!F:F,0))</f>
        <v>97913.323876400013</v>
      </c>
      <c r="K368" s="45">
        <f t="shared" si="100"/>
        <v>158580.25093913518</v>
      </c>
      <c r="L368" s="45">
        <v>55113.89</v>
      </c>
      <c r="M368" s="45">
        <v>50015.37</v>
      </c>
      <c r="N368" s="45">
        <f t="shared" si="101"/>
        <v>105129.26000000001</v>
      </c>
      <c r="O368" s="45">
        <v>251931.16966020511</v>
      </c>
      <c r="P368" s="45">
        <v>104507.94267924501</v>
      </c>
      <c r="Q368" s="45">
        <f t="shared" si="102"/>
        <v>356439.1123394501</v>
      </c>
      <c r="R368" s="45" t="str">
        <f t="shared" si="103"/>
        <v>Yes</v>
      </c>
      <c r="S368" s="46" t="str">
        <f t="shared" si="103"/>
        <v>Yes</v>
      </c>
      <c r="T368" s="47">
        <f>ROUND(INDEX(Summary!H:H,MATCH(H:H,Summary!A:A,0)),2)</f>
        <v>0.74</v>
      </c>
      <c r="U368" s="47">
        <f>ROUND(INDEX(Summary!I:I,MATCH(H:H,Summary!A:A,0)),2)</f>
        <v>0.49</v>
      </c>
      <c r="V368" s="81">
        <f t="shared" si="104"/>
        <v>44893.526026424028</v>
      </c>
      <c r="W368" s="81">
        <f t="shared" si="104"/>
        <v>47977.528699436007</v>
      </c>
      <c r="X368" s="45">
        <f t="shared" si="105"/>
        <v>92871.054725860042</v>
      </c>
      <c r="Y368" s="45" t="s">
        <v>2752</v>
      </c>
      <c r="Z368" s="45" t="str">
        <f t="shared" si="106"/>
        <v>Yes</v>
      </c>
      <c r="AA368" s="45" t="str">
        <f t="shared" si="106"/>
        <v>Yes</v>
      </c>
      <c r="AB368" s="45" t="str">
        <f t="shared" si="107"/>
        <v>Yes</v>
      </c>
      <c r="AC368" s="82">
        <f t="shared" si="108"/>
        <v>2.38</v>
      </c>
      <c r="AD368" s="82">
        <f t="shared" si="108"/>
        <v>0.4</v>
      </c>
      <c r="AE368" s="45">
        <f t="shared" si="109"/>
        <v>144387.28640930972</v>
      </c>
      <c r="AF368" s="45">
        <f t="shared" si="109"/>
        <v>39165.329550560004</v>
      </c>
      <c r="AG368" s="45">
        <f t="shared" si="110"/>
        <v>183552.61595986973</v>
      </c>
      <c r="AH368" s="47">
        <f>IFERROR(ROUNDDOWN(INDEX('90% of ACR'!K:K,MATCH(H:H,'90% of ACR'!A:A,0))*IF(I368&gt;0,IF(O368&gt;0,$R$4*MAX(O368-V368,0),0),0)/I368,2),0)</f>
        <v>2.37</v>
      </c>
      <c r="AI368" s="82">
        <f>IFERROR(ROUNDDOWN(INDEX('90% of ACR'!R:R,MATCH(H:H,'90% of ACR'!A:A,0))*IF(J368&gt;0,IF(P368&gt;0,$R$4*MAX(P368-W368,0),0),0)/J368,2),0)</f>
        <v>0.39</v>
      </c>
      <c r="AJ368" s="45">
        <f t="shared" si="111"/>
        <v>143780.61713868237</v>
      </c>
      <c r="AK368" s="45">
        <f t="shared" si="111"/>
        <v>38186.196311796004</v>
      </c>
      <c r="AL368" s="47">
        <f t="shared" si="112"/>
        <v>3.1100000000000003</v>
      </c>
      <c r="AM368" s="47">
        <f t="shared" si="112"/>
        <v>0.88</v>
      </c>
      <c r="AN368" s="83">
        <f>IFERROR(INDEX('Fee Calc'!P:P,MATCH(C368,'Fee Calc'!F:F,0)),0)</f>
        <v>274837.86817633844</v>
      </c>
      <c r="AO368" s="83">
        <f>IFERROR(INDEX('Fee Calc'!Q:Q,MATCH(C368,'Fee Calc'!F:F,0)),0)</f>
        <v>17475.794825834397</v>
      </c>
      <c r="AP368" s="83">
        <f t="shared" si="113"/>
        <v>292313.66300217283</v>
      </c>
      <c r="AQ368" s="70">
        <f t="shared" si="114"/>
        <v>124827.28813914387</v>
      </c>
      <c r="AR368" s="70">
        <f t="shared" si="115"/>
        <v>62413.644069571936</v>
      </c>
      <c r="AS368" s="70">
        <f t="shared" si="116"/>
        <v>62413.644069571936</v>
      </c>
    </row>
    <row r="369" spans="1:45">
      <c r="A369" s="104" t="s">
        <v>2533</v>
      </c>
      <c r="B369" s="124" t="s">
        <v>2533</v>
      </c>
      <c r="C369" s="31" t="s">
        <v>2534</v>
      </c>
      <c r="D369" s="125" t="s">
        <v>2534</v>
      </c>
      <c r="E369" s="119" t="s">
        <v>2929</v>
      </c>
      <c r="F369" s="100" t="s">
        <v>2279</v>
      </c>
      <c r="G369" s="100" t="s">
        <v>1365</v>
      </c>
      <c r="H369" s="43" t="str">
        <f t="shared" si="99"/>
        <v>Urban Tarrant</v>
      </c>
      <c r="I369" s="45">
        <f>INDEX('Fee Calc'!M:M,MATCH(C:C,'Fee Calc'!F:F,0))</f>
        <v>0</v>
      </c>
      <c r="J369" s="45">
        <f>INDEX('Fee Calc'!L:L,MATCH(C:C,'Fee Calc'!F:F,0))</f>
        <v>0</v>
      </c>
      <c r="K369" s="45">
        <f t="shared" si="100"/>
        <v>0</v>
      </c>
      <c r="L369" s="45">
        <v>0</v>
      </c>
      <c r="M369" s="45">
        <v>0</v>
      </c>
      <c r="N369" s="45">
        <f t="shared" si="101"/>
        <v>0</v>
      </c>
      <c r="O369" s="45">
        <v>0</v>
      </c>
      <c r="P369" s="45">
        <v>0</v>
      </c>
      <c r="Q369" s="45">
        <f t="shared" si="102"/>
        <v>0</v>
      </c>
      <c r="R369" s="45" t="str">
        <f t="shared" si="103"/>
        <v>No</v>
      </c>
      <c r="S369" s="46" t="str">
        <f t="shared" si="103"/>
        <v>No</v>
      </c>
      <c r="T369" s="47">
        <f>ROUND(INDEX(Summary!H:H,MATCH(H:H,Summary!A:A,0)),2)</f>
        <v>0.74</v>
      </c>
      <c r="U369" s="47">
        <f>ROUND(INDEX(Summary!I:I,MATCH(H:H,Summary!A:A,0)),2)</f>
        <v>0.49</v>
      </c>
      <c r="V369" s="81">
        <f t="shared" si="104"/>
        <v>0</v>
      </c>
      <c r="W369" s="81">
        <f t="shared" si="104"/>
        <v>0</v>
      </c>
      <c r="X369" s="45">
        <f t="shared" si="105"/>
        <v>0</v>
      </c>
      <c r="Y369" s="45" t="s">
        <v>2752</v>
      </c>
      <c r="Z369" s="45" t="str">
        <f t="shared" si="106"/>
        <v>No</v>
      </c>
      <c r="AA369" s="45" t="str">
        <f t="shared" si="106"/>
        <v>No</v>
      </c>
      <c r="AB369" s="45" t="str">
        <f t="shared" si="107"/>
        <v>No</v>
      </c>
      <c r="AC369" s="82">
        <f t="shared" si="108"/>
        <v>0</v>
      </c>
      <c r="AD369" s="82">
        <f t="shared" si="108"/>
        <v>0</v>
      </c>
      <c r="AE369" s="45">
        <f t="shared" si="109"/>
        <v>0</v>
      </c>
      <c r="AF369" s="45">
        <f t="shared" si="109"/>
        <v>0</v>
      </c>
      <c r="AG369" s="45">
        <f t="shared" si="110"/>
        <v>0</v>
      </c>
      <c r="AH369" s="47">
        <f>IFERROR(ROUNDDOWN(INDEX('90% of ACR'!K:K,MATCH(H:H,'90% of ACR'!A:A,0))*IF(I369&gt;0,IF(O369&gt;0,$R$4*MAX(O369-V369,0),0),0)/I369,2),0)</f>
        <v>0</v>
      </c>
      <c r="AI369" s="82">
        <f>IFERROR(ROUNDDOWN(INDEX('90% of ACR'!R:R,MATCH(H:H,'90% of ACR'!A:A,0))*IF(J369&gt;0,IF(P369&gt;0,$R$4*MAX(P369-W369,0),0),0)/J369,2),0)</f>
        <v>0</v>
      </c>
      <c r="AJ369" s="45">
        <f t="shared" si="111"/>
        <v>0</v>
      </c>
      <c r="AK369" s="45">
        <f t="shared" si="111"/>
        <v>0</v>
      </c>
      <c r="AL369" s="47">
        <f t="shared" si="112"/>
        <v>0.74</v>
      </c>
      <c r="AM369" s="47">
        <f t="shared" si="112"/>
        <v>0.49</v>
      </c>
      <c r="AN369" s="83">
        <f>IFERROR(INDEX('Fee Calc'!P:P,MATCH(C369,'Fee Calc'!F:F,0)),0)</f>
        <v>0</v>
      </c>
      <c r="AO369" s="83">
        <f>IFERROR(INDEX('Fee Calc'!Q:Q,MATCH(C369,'Fee Calc'!F:F,0)),0)</f>
        <v>0</v>
      </c>
      <c r="AP369" s="83">
        <f t="shared" si="113"/>
        <v>0</v>
      </c>
      <c r="AQ369" s="70">
        <f t="shared" si="114"/>
        <v>0</v>
      </c>
      <c r="AR369" s="70">
        <f t="shared" si="115"/>
        <v>0</v>
      </c>
      <c r="AS369" s="70">
        <f t="shared" si="116"/>
        <v>0</v>
      </c>
    </row>
    <row r="370" spans="1:45">
      <c r="A370" s="104" t="s">
        <v>1095</v>
      </c>
      <c r="B370" s="124" t="s">
        <v>1095</v>
      </c>
      <c r="C370" s="31" t="s">
        <v>1096</v>
      </c>
      <c r="D370" s="125" t="s">
        <v>1096</v>
      </c>
      <c r="E370" s="119" t="s">
        <v>2607</v>
      </c>
      <c r="F370" s="100" t="s">
        <v>2279</v>
      </c>
      <c r="G370" s="100" t="s">
        <v>1365</v>
      </c>
      <c r="H370" s="43" t="str">
        <f t="shared" si="99"/>
        <v>Urban Tarrant</v>
      </c>
      <c r="I370" s="45">
        <f>INDEX('Fee Calc'!M:M,MATCH(C:C,'Fee Calc'!F:F,0))</f>
        <v>452167.72310618311</v>
      </c>
      <c r="J370" s="45">
        <f>INDEX('Fee Calc'!L:L,MATCH(C:C,'Fee Calc'!F:F,0))</f>
        <v>1239236.0852415799</v>
      </c>
      <c r="K370" s="45">
        <f t="shared" si="100"/>
        <v>1691403.808347763</v>
      </c>
      <c r="L370" s="45">
        <v>263157.68</v>
      </c>
      <c r="M370" s="45">
        <v>111813.09</v>
      </c>
      <c r="N370" s="45">
        <f t="shared" si="101"/>
        <v>374970.77</v>
      </c>
      <c r="O370" s="45">
        <v>1236488.2644252584</v>
      </c>
      <c r="P370" s="45">
        <v>1230074.3186497092</v>
      </c>
      <c r="Q370" s="45">
        <f t="shared" si="102"/>
        <v>2466562.5830749674</v>
      </c>
      <c r="R370" s="45" t="str">
        <f t="shared" si="103"/>
        <v>Yes</v>
      </c>
      <c r="S370" s="46" t="str">
        <f t="shared" si="103"/>
        <v>Yes</v>
      </c>
      <c r="T370" s="47">
        <f>ROUND(INDEX(Summary!H:H,MATCH(H:H,Summary!A:A,0)),2)</f>
        <v>0.74</v>
      </c>
      <c r="U370" s="47">
        <f>ROUND(INDEX(Summary!I:I,MATCH(H:H,Summary!A:A,0)),2)</f>
        <v>0.49</v>
      </c>
      <c r="V370" s="81">
        <f t="shared" si="104"/>
        <v>334604.11509857548</v>
      </c>
      <c r="W370" s="81">
        <f t="shared" si="104"/>
        <v>607225.68176837417</v>
      </c>
      <c r="X370" s="45">
        <f t="shared" si="105"/>
        <v>941829.79686694965</v>
      </c>
      <c r="Y370" s="45" t="s">
        <v>2752</v>
      </c>
      <c r="Z370" s="45" t="str">
        <f t="shared" si="106"/>
        <v>Yes</v>
      </c>
      <c r="AA370" s="45" t="str">
        <f t="shared" si="106"/>
        <v>Yes</v>
      </c>
      <c r="AB370" s="45" t="str">
        <f t="shared" si="107"/>
        <v>Yes</v>
      </c>
      <c r="AC370" s="82">
        <f t="shared" si="108"/>
        <v>1.39</v>
      </c>
      <c r="AD370" s="82">
        <f t="shared" si="108"/>
        <v>0.35</v>
      </c>
      <c r="AE370" s="45">
        <f t="shared" si="109"/>
        <v>628513.1351175945</v>
      </c>
      <c r="AF370" s="45">
        <f t="shared" si="109"/>
        <v>433732.62983455294</v>
      </c>
      <c r="AG370" s="45">
        <f t="shared" si="110"/>
        <v>1062245.7649521474</v>
      </c>
      <c r="AH370" s="47">
        <f>IFERROR(ROUNDDOWN(INDEX('90% of ACR'!K:K,MATCH(H:H,'90% of ACR'!A:A,0))*IF(I370&gt;0,IF(O370&gt;0,$R$4*MAX(O370-V370,0),0),0)/I370,2),0)</f>
        <v>1.38</v>
      </c>
      <c r="AI370" s="82">
        <f>IFERROR(ROUNDDOWN(INDEX('90% of ACR'!R:R,MATCH(H:H,'90% of ACR'!A:A,0))*IF(J370&gt;0,IF(P370&gt;0,$R$4*MAX(P370-W370,0),0),0)/J370,2),0)</f>
        <v>0.34</v>
      </c>
      <c r="AJ370" s="45">
        <f t="shared" si="111"/>
        <v>623991.45788653265</v>
      </c>
      <c r="AK370" s="45">
        <f t="shared" si="111"/>
        <v>421340.2689821372</v>
      </c>
      <c r="AL370" s="47">
        <f t="shared" si="112"/>
        <v>2.12</v>
      </c>
      <c r="AM370" s="47">
        <f t="shared" si="112"/>
        <v>0.83000000000000007</v>
      </c>
      <c r="AN370" s="83">
        <f>IFERROR(INDEX('Fee Calc'!P:P,MATCH(C370,'Fee Calc'!F:F,0)),0)</f>
        <v>1987161.5237356196</v>
      </c>
      <c r="AO370" s="83">
        <f>IFERROR(INDEX('Fee Calc'!Q:Q,MATCH(C370,'Fee Calc'!F:F,0)),0)</f>
        <v>124380.57244196278</v>
      </c>
      <c r="AP370" s="83">
        <f t="shared" si="113"/>
        <v>2111542.0961775826</v>
      </c>
      <c r="AQ370" s="70">
        <f t="shared" si="114"/>
        <v>901696.04441490548</v>
      </c>
      <c r="AR370" s="70">
        <f t="shared" si="115"/>
        <v>450848.02220745274</v>
      </c>
      <c r="AS370" s="70">
        <f t="shared" si="116"/>
        <v>450848.02220745274</v>
      </c>
    </row>
    <row r="371" spans="1:45">
      <c r="A371" s="104" t="s">
        <v>365</v>
      </c>
      <c r="B371" s="124" t="s">
        <v>365</v>
      </c>
      <c r="C371" s="31" t="s">
        <v>366</v>
      </c>
      <c r="D371" s="125" t="s">
        <v>366</v>
      </c>
      <c r="E371" s="119" t="s">
        <v>2620</v>
      </c>
      <c r="F371" s="100" t="s">
        <v>2279</v>
      </c>
      <c r="G371" s="100" t="s">
        <v>223</v>
      </c>
      <c r="H371" s="43" t="str">
        <f t="shared" si="99"/>
        <v>Urban Dallas</v>
      </c>
      <c r="I371" s="45">
        <f>INDEX('Fee Calc'!M:M,MATCH(C:C,'Fee Calc'!F:F,0))</f>
        <v>679112.10789525509</v>
      </c>
      <c r="J371" s="45">
        <f>INDEX('Fee Calc'!L:L,MATCH(C:C,'Fee Calc'!F:F,0))</f>
        <v>1581201.167106851</v>
      </c>
      <c r="K371" s="45">
        <f t="shared" si="100"/>
        <v>2260313.2750021061</v>
      </c>
      <c r="L371" s="45">
        <v>346349.4</v>
      </c>
      <c r="M371" s="45">
        <v>479032.61</v>
      </c>
      <c r="N371" s="45">
        <f t="shared" si="101"/>
        <v>825382.01</v>
      </c>
      <c r="O371" s="45">
        <v>1801308.9546230077</v>
      </c>
      <c r="P371" s="45">
        <v>1501053.7616058826</v>
      </c>
      <c r="Q371" s="45">
        <f t="shared" si="102"/>
        <v>3302362.7162288902</v>
      </c>
      <c r="R371" s="45" t="str">
        <f t="shared" si="103"/>
        <v>Yes</v>
      </c>
      <c r="S371" s="46" t="str">
        <f t="shared" si="103"/>
        <v>Yes</v>
      </c>
      <c r="T371" s="47">
        <f>ROUND(INDEX(Summary!H:H,MATCH(H:H,Summary!A:A,0)),2)</f>
        <v>0.54</v>
      </c>
      <c r="U371" s="47">
        <f>ROUND(INDEX(Summary!I:I,MATCH(H:H,Summary!A:A,0)),2)</f>
        <v>0.27</v>
      </c>
      <c r="V371" s="81">
        <f t="shared" si="104"/>
        <v>366720.53826343775</v>
      </c>
      <c r="W371" s="81">
        <f t="shared" si="104"/>
        <v>426924.3151188498</v>
      </c>
      <c r="X371" s="45">
        <f t="shared" si="105"/>
        <v>793644.85338228755</v>
      </c>
      <c r="Y371" s="45" t="s">
        <v>2752</v>
      </c>
      <c r="Z371" s="45" t="str">
        <f t="shared" si="106"/>
        <v>Yes</v>
      </c>
      <c r="AA371" s="45" t="str">
        <f t="shared" si="106"/>
        <v>Yes</v>
      </c>
      <c r="AB371" s="45" t="str">
        <f t="shared" si="107"/>
        <v>Yes</v>
      </c>
      <c r="AC371" s="82">
        <f t="shared" si="108"/>
        <v>1.47</v>
      </c>
      <c r="AD371" s="82">
        <f t="shared" si="108"/>
        <v>0.47</v>
      </c>
      <c r="AE371" s="45">
        <f t="shared" si="109"/>
        <v>998294.79860602494</v>
      </c>
      <c r="AF371" s="45">
        <f t="shared" si="109"/>
        <v>743164.5485402199</v>
      </c>
      <c r="AG371" s="45">
        <f t="shared" si="110"/>
        <v>1741459.3471462447</v>
      </c>
      <c r="AH371" s="47">
        <f>IFERROR(ROUNDDOWN(INDEX('90% of ACR'!K:K,MATCH(H:H,'90% of ACR'!A:A,0))*IF(I371&gt;0,IF(O371&gt;0,$R$4*MAX(O371-V371,0),0),0)/I371,2),0)</f>
        <v>1.47</v>
      </c>
      <c r="AI371" s="82">
        <f>IFERROR(ROUNDDOWN(INDEX('90% of ACR'!R:R,MATCH(H:H,'90% of ACR'!A:A,0))*IF(J371&gt;0,IF(P371&gt;0,$R$4*MAX(P371-W371,0),0),0)/J371,2),0)</f>
        <v>0.47</v>
      </c>
      <c r="AJ371" s="45">
        <f t="shared" si="111"/>
        <v>998294.79860602494</v>
      </c>
      <c r="AK371" s="45">
        <f t="shared" si="111"/>
        <v>743164.5485402199</v>
      </c>
      <c r="AL371" s="47">
        <f t="shared" si="112"/>
        <v>2.0099999999999998</v>
      </c>
      <c r="AM371" s="47">
        <f t="shared" si="112"/>
        <v>0.74</v>
      </c>
      <c r="AN371" s="83">
        <f>IFERROR(INDEX('Fee Calc'!P:P,MATCH(C371,'Fee Calc'!F:F,0)),0)</f>
        <v>2535104.2005285323</v>
      </c>
      <c r="AO371" s="83">
        <f>IFERROR(INDEX('Fee Calc'!Q:Q,MATCH(C371,'Fee Calc'!F:F,0)),0)</f>
        <v>156999.04700778314</v>
      </c>
      <c r="AP371" s="83">
        <f t="shared" si="113"/>
        <v>2692103.2475363156</v>
      </c>
      <c r="AQ371" s="70">
        <f t="shared" si="114"/>
        <v>1149614.2340019278</v>
      </c>
      <c r="AR371" s="70">
        <f t="shared" si="115"/>
        <v>574807.11700096389</v>
      </c>
      <c r="AS371" s="70">
        <f t="shared" si="116"/>
        <v>574807.11700096389</v>
      </c>
    </row>
    <row r="372" spans="1:45">
      <c r="A372" s="104" t="s">
        <v>404</v>
      </c>
      <c r="B372" s="124" t="s">
        <v>404</v>
      </c>
      <c r="C372" s="31" t="s">
        <v>405</v>
      </c>
      <c r="D372" s="125" t="s">
        <v>405</v>
      </c>
      <c r="E372" s="119" t="s">
        <v>2621</v>
      </c>
      <c r="F372" s="100" t="s">
        <v>2279</v>
      </c>
      <c r="G372" s="100" t="s">
        <v>1365</v>
      </c>
      <c r="H372" s="43" t="str">
        <f t="shared" si="99"/>
        <v>Urban Tarrant</v>
      </c>
      <c r="I372" s="45">
        <f>INDEX('Fee Calc'!M:M,MATCH(C:C,'Fee Calc'!F:F,0))</f>
        <v>0</v>
      </c>
      <c r="J372" s="45">
        <f>INDEX('Fee Calc'!L:L,MATCH(C:C,'Fee Calc'!F:F,0))</f>
        <v>91754.057434715229</v>
      </c>
      <c r="K372" s="45">
        <f t="shared" si="100"/>
        <v>91754.057434715229</v>
      </c>
      <c r="L372" s="45">
        <v>25703.91</v>
      </c>
      <c r="M372" s="45">
        <v>150522.68</v>
      </c>
      <c r="N372" s="45">
        <f t="shared" si="101"/>
        <v>176226.59</v>
      </c>
      <c r="O372" s="45">
        <v>102494.14851155529</v>
      </c>
      <c r="P372" s="45">
        <v>271870.61344151164</v>
      </c>
      <c r="Q372" s="45">
        <f t="shared" si="102"/>
        <v>374364.76195306692</v>
      </c>
      <c r="R372" s="45" t="str">
        <f t="shared" si="103"/>
        <v>Yes</v>
      </c>
      <c r="S372" s="46" t="str">
        <f t="shared" si="103"/>
        <v>Yes</v>
      </c>
      <c r="T372" s="47">
        <f>ROUND(INDEX(Summary!H:H,MATCH(H:H,Summary!A:A,0)),2)</f>
        <v>0.74</v>
      </c>
      <c r="U372" s="47">
        <f>ROUND(INDEX(Summary!I:I,MATCH(H:H,Summary!A:A,0)),2)</f>
        <v>0.49</v>
      </c>
      <c r="V372" s="81">
        <f t="shared" si="104"/>
        <v>0</v>
      </c>
      <c r="W372" s="81">
        <f t="shared" si="104"/>
        <v>44959.488143010458</v>
      </c>
      <c r="X372" s="45">
        <f t="shared" si="105"/>
        <v>44959.488143010458</v>
      </c>
      <c r="Y372" s="45" t="s">
        <v>2752</v>
      </c>
      <c r="Z372" s="45" t="str">
        <f t="shared" si="106"/>
        <v>No</v>
      </c>
      <c r="AA372" s="45" t="str">
        <f t="shared" si="106"/>
        <v>Yes</v>
      </c>
      <c r="AB372" s="45" t="str">
        <f t="shared" si="107"/>
        <v>Yes</v>
      </c>
      <c r="AC372" s="82">
        <f t="shared" si="108"/>
        <v>0</v>
      </c>
      <c r="AD372" s="82">
        <f t="shared" si="108"/>
        <v>1.72</v>
      </c>
      <c r="AE372" s="45">
        <f t="shared" si="109"/>
        <v>0</v>
      </c>
      <c r="AF372" s="45">
        <f t="shared" si="109"/>
        <v>157816.97878771019</v>
      </c>
      <c r="AG372" s="45">
        <f t="shared" si="110"/>
        <v>157816.97878771019</v>
      </c>
      <c r="AH372" s="47">
        <f>IFERROR(ROUNDDOWN(INDEX('90% of ACR'!K:K,MATCH(H:H,'90% of ACR'!A:A,0))*IF(I372&gt;0,IF(O372&gt;0,$R$4*MAX(O372-V372,0),0),0)/I372,2),0)</f>
        <v>0</v>
      </c>
      <c r="AI372" s="82">
        <f>IFERROR(ROUNDDOWN(INDEX('90% of ACR'!R:R,MATCH(H:H,'90% of ACR'!A:A,0))*IF(J372&gt;0,IF(P372&gt;0,$R$4*MAX(P372-W372,0),0),0)/J372,2),0)</f>
        <v>1.67</v>
      </c>
      <c r="AJ372" s="45">
        <f t="shared" si="111"/>
        <v>0</v>
      </c>
      <c r="AK372" s="45">
        <f t="shared" si="111"/>
        <v>153229.27591597443</v>
      </c>
      <c r="AL372" s="47">
        <f t="shared" si="112"/>
        <v>0.74</v>
      </c>
      <c r="AM372" s="47">
        <f t="shared" si="112"/>
        <v>2.16</v>
      </c>
      <c r="AN372" s="83">
        <f>IFERROR(INDEX('Fee Calc'!P:P,MATCH(C372,'Fee Calc'!F:F,0)),0)</f>
        <v>198188.7640589849</v>
      </c>
      <c r="AO372" s="83">
        <f>IFERROR(INDEX('Fee Calc'!Q:Q,MATCH(C372,'Fee Calc'!F:F,0)),0)</f>
        <v>12141.843615338646</v>
      </c>
      <c r="AP372" s="83">
        <f t="shared" si="113"/>
        <v>210330.60767432355</v>
      </c>
      <c r="AQ372" s="70">
        <f t="shared" si="114"/>
        <v>89817.900056381724</v>
      </c>
      <c r="AR372" s="70">
        <f t="shared" si="115"/>
        <v>44908.950028190862</v>
      </c>
      <c r="AS372" s="70">
        <f t="shared" si="116"/>
        <v>44908.950028190862</v>
      </c>
    </row>
    <row r="373" spans="1:45">
      <c r="A373" s="104" t="s">
        <v>968</v>
      </c>
      <c r="B373" s="124" t="s">
        <v>968</v>
      </c>
      <c r="C373" s="31" t="s">
        <v>969</v>
      </c>
      <c r="D373" s="125" t="s">
        <v>969</v>
      </c>
      <c r="E373" s="119" t="s">
        <v>2622</v>
      </c>
      <c r="F373" s="100" t="s">
        <v>2279</v>
      </c>
      <c r="G373" s="100" t="s">
        <v>223</v>
      </c>
      <c r="H373" s="43" t="str">
        <f t="shared" si="99"/>
        <v>Urban Dallas</v>
      </c>
      <c r="I373" s="45">
        <f>INDEX('Fee Calc'!M:M,MATCH(C:C,'Fee Calc'!F:F,0))</f>
        <v>0</v>
      </c>
      <c r="J373" s="45">
        <f>INDEX('Fee Calc'!L:L,MATCH(C:C,'Fee Calc'!F:F,0))</f>
        <v>97420.446528801986</v>
      </c>
      <c r="K373" s="45">
        <f t="shared" si="100"/>
        <v>97420.446528801986</v>
      </c>
      <c r="L373" s="45">
        <v>0</v>
      </c>
      <c r="M373" s="45">
        <v>97123.839999999997</v>
      </c>
      <c r="N373" s="45">
        <f t="shared" si="101"/>
        <v>97123.839999999997</v>
      </c>
      <c r="O373" s="45">
        <v>0</v>
      </c>
      <c r="P373" s="45">
        <v>202269.25459090713</v>
      </c>
      <c r="Q373" s="45">
        <f t="shared" si="102"/>
        <v>202269.25459090713</v>
      </c>
      <c r="R373" s="45" t="str">
        <f t="shared" si="103"/>
        <v>No</v>
      </c>
      <c r="S373" s="46" t="str">
        <f t="shared" si="103"/>
        <v>Yes</v>
      </c>
      <c r="T373" s="47">
        <f>ROUND(INDEX(Summary!H:H,MATCH(H:H,Summary!A:A,0)),2)</f>
        <v>0.54</v>
      </c>
      <c r="U373" s="47">
        <f>ROUND(INDEX(Summary!I:I,MATCH(H:H,Summary!A:A,0)),2)</f>
        <v>0.27</v>
      </c>
      <c r="V373" s="81">
        <f t="shared" si="104"/>
        <v>0</v>
      </c>
      <c r="W373" s="81">
        <f t="shared" si="104"/>
        <v>26303.520562776539</v>
      </c>
      <c r="X373" s="45">
        <f t="shared" si="105"/>
        <v>26303.520562776539</v>
      </c>
      <c r="Y373" s="45" t="s">
        <v>2752</v>
      </c>
      <c r="Z373" s="45" t="str">
        <f t="shared" si="106"/>
        <v>No</v>
      </c>
      <c r="AA373" s="45" t="str">
        <f t="shared" si="106"/>
        <v>Yes</v>
      </c>
      <c r="AB373" s="45" t="str">
        <f t="shared" si="107"/>
        <v>Yes</v>
      </c>
      <c r="AC373" s="82">
        <f t="shared" si="108"/>
        <v>0</v>
      </c>
      <c r="AD373" s="82">
        <f t="shared" si="108"/>
        <v>1.26</v>
      </c>
      <c r="AE373" s="45">
        <f t="shared" si="109"/>
        <v>0</v>
      </c>
      <c r="AF373" s="45">
        <f t="shared" si="109"/>
        <v>122749.7626262905</v>
      </c>
      <c r="AG373" s="45">
        <f t="shared" si="110"/>
        <v>122749.7626262905</v>
      </c>
      <c r="AH373" s="47">
        <f>IFERROR(ROUNDDOWN(INDEX('90% of ACR'!K:K,MATCH(H:H,'90% of ACR'!A:A,0))*IF(I373&gt;0,IF(O373&gt;0,$R$4*MAX(O373-V373,0),0),0)/I373,2),0)</f>
        <v>0</v>
      </c>
      <c r="AI373" s="82">
        <f>IFERROR(ROUNDDOWN(INDEX('90% of ACR'!R:R,MATCH(H:H,'90% of ACR'!A:A,0))*IF(J373&gt;0,IF(P373&gt;0,$R$4*MAX(P373-W373,0),0),0)/J373,2),0)</f>
        <v>1.25</v>
      </c>
      <c r="AJ373" s="45">
        <f t="shared" si="111"/>
        <v>0</v>
      </c>
      <c r="AK373" s="45">
        <f t="shared" si="111"/>
        <v>121775.55816100248</v>
      </c>
      <c r="AL373" s="47">
        <f t="shared" si="112"/>
        <v>0.54</v>
      </c>
      <c r="AM373" s="47">
        <f t="shared" si="112"/>
        <v>1.52</v>
      </c>
      <c r="AN373" s="83">
        <f>IFERROR(INDEX('Fee Calc'!P:P,MATCH(C373,'Fee Calc'!F:F,0)),0)</f>
        <v>148079.07872377901</v>
      </c>
      <c r="AO373" s="83">
        <f>IFERROR(INDEX('Fee Calc'!Q:Q,MATCH(C373,'Fee Calc'!F:F,0)),0)</f>
        <v>9040.7143617887632</v>
      </c>
      <c r="AP373" s="83">
        <f t="shared" si="113"/>
        <v>157119.79308556777</v>
      </c>
      <c r="AQ373" s="70">
        <f t="shared" si="114"/>
        <v>67095.17948091618</v>
      </c>
      <c r="AR373" s="70">
        <f t="shared" si="115"/>
        <v>33547.58974045809</v>
      </c>
      <c r="AS373" s="70">
        <f t="shared" si="116"/>
        <v>33547.58974045809</v>
      </c>
    </row>
    <row r="374" spans="1:45">
      <c r="A374" s="104" t="s">
        <v>143</v>
      </c>
      <c r="B374" s="124" t="s">
        <v>143</v>
      </c>
      <c r="C374" s="31" t="s">
        <v>144</v>
      </c>
      <c r="D374" s="125" t="s">
        <v>144</v>
      </c>
      <c r="E374" s="119" t="s">
        <v>2623</v>
      </c>
      <c r="F374" s="100" t="s">
        <v>2279</v>
      </c>
      <c r="G374" s="100" t="s">
        <v>1365</v>
      </c>
      <c r="H374" s="43" t="str">
        <f t="shared" si="99"/>
        <v>Urban Tarrant</v>
      </c>
      <c r="I374" s="45">
        <f>INDEX('Fee Calc'!M:M,MATCH(C:C,'Fee Calc'!F:F,0))</f>
        <v>2379707.9695819267</v>
      </c>
      <c r="J374" s="45">
        <f>INDEX('Fee Calc'!L:L,MATCH(C:C,'Fee Calc'!F:F,0))</f>
        <v>858366.31916940655</v>
      </c>
      <c r="K374" s="45">
        <f t="shared" si="100"/>
        <v>3238074.288751333</v>
      </c>
      <c r="L374" s="45">
        <v>1111138.6499999999</v>
      </c>
      <c r="M374" s="45">
        <v>297898.68</v>
      </c>
      <c r="N374" s="45">
        <f t="shared" si="101"/>
        <v>1409037.3299999998</v>
      </c>
      <c r="O374" s="45">
        <v>5569879.8334341049</v>
      </c>
      <c r="P374" s="45">
        <v>774622.82207531214</v>
      </c>
      <c r="Q374" s="45">
        <f t="shared" si="102"/>
        <v>6344502.6555094169</v>
      </c>
      <c r="R374" s="45" t="str">
        <f t="shared" si="103"/>
        <v>Yes</v>
      </c>
      <c r="S374" s="46" t="str">
        <f t="shared" si="103"/>
        <v>Yes</v>
      </c>
      <c r="T374" s="47">
        <f>ROUND(INDEX(Summary!H:H,MATCH(H:H,Summary!A:A,0)),2)</f>
        <v>0.74</v>
      </c>
      <c r="U374" s="47">
        <f>ROUND(INDEX(Summary!I:I,MATCH(H:H,Summary!A:A,0)),2)</f>
        <v>0.49</v>
      </c>
      <c r="V374" s="81">
        <f t="shared" si="104"/>
        <v>1760983.8974906257</v>
      </c>
      <c r="W374" s="81">
        <f t="shared" si="104"/>
        <v>420599.49639300921</v>
      </c>
      <c r="X374" s="45">
        <f t="shared" si="105"/>
        <v>2181583.3938836348</v>
      </c>
      <c r="Y374" s="45" t="s">
        <v>2752</v>
      </c>
      <c r="Z374" s="45" t="str">
        <f t="shared" si="106"/>
        <v>Yes</v>
      </c>
      <c r="AA374" s="45" t="str">
        <f t="shared" si="106"/>
        <v>Yes</v>
      </c>
      <c r="AB374" s="45" t="str">
        <f t="shared" si="107"/>
        <v>Yes</v>
      </c>
      <c r="AC374" s="82">
        <f t="shared" si="108"/>
        <v>1.1200000000000001</v>
      </c>
      <c r="AD374" s="82">
        <f t="shared" si="108"/>
        <v>0.28999999999999998</v>
      </c>
      <c r="AE374" s="45">
        <f t="shared" si="109"/>
        <v>2665272.9259317582</v>
      </c>
      <c r="AF374" s="45">
        <f t="shared" si="109"/>
        <v>248926.23255912788</v>
      </c>
      <c r="AG374" s="45">
        <f t="shared" si="110"/>
        <v>2914199.158490886</v>
      </c>
      <c r="AH374" s="47">
        <f>IFERROR(ROUNDDOWN(INDEX('90% of ACR'!K:K,MATCH(H:H,'90% of ACR'!A:A,0))*IF(I374&gt;0,IF(O374&gt;0,$R$4*MAX(O374-V374,0),0),0)/I374,2),0)</f>
        <v>1.1100000000000001</v>
      </c>
      <c r="AI374" s="82">
        <f>IFERROR(ROUNDDOWN(INDEX('90% of ACR'!R:R,MATCH(H:H,'90% of ACR'!A:A,0))*IF(J374&gt;0,IF(P374&gt;0,$R$4*MAX(P374-W374,0),0),0)/J374,2),0)</f>
        <v>0.27</v>
      </c>
      <c r="AJ374" s="45">
        <f t="shared" si="111"/>
        <v>2641475.8462359388</v>
      </c>
      <c r="AK374" s="45">
        <f t="shared" si="111"/>
        <v>231758.90617573977</v>
      </c>
      <c r="AL374" s="47">
        <f t="shared" si="112"/>
        <v>1.85</v>
      </c>
      <c r="AM374" s="47">
        <f t="shared" si="112"/>
        <v>0.76</v>
      </c>
      <c r="AN374" s="83">
        <f>IFERROR(INDEX('Fee Calc'!P:P,MATCH(C374,'Fee Calc'!F:F,0)),0)</f>
        <v>5054818.1462953137</v>
      </c>
      <c r="AO374" s="83">
        <f>IFERROR(INDEX('Fee Calc'!Q:Q,MATCH(C374,'Fee Calc'!F:F,0)),0)</f>
        <v>309257.87118820846</v>
      </c>
      <c r="AP374" s="83">
        <f t="shared" si="113"/>
        <v>5364076.0174835222</v>
      </c>
      <c r="AQ374" s="70">
        <f t="shared" si="114"/>
        <v>2290632.1098980233</v>
      </c>
      <c r="AR374" s="70">
        <f t="shared" si="115"/>
        <v>1145316.0549490117</v>
      </c>
      <c r="AS374" s="70">
        <f t="shared" si="116"/>
        <v>1145316.0549490117</v>
      </c>
    </row>
    <row r="375" spans="1:45">
      <c r="A375" s="104" t="s">
        <v>962</v>
      </c>
      <c r="B375" s="124" t="s">
        <v>962</v>
      </c>
      <c r="C375" s="31" t="s">
        <v>963</v>
      </c>
      <c r="D375" s="125" t="s">
        <v>963</v>
      </c>
      <c r="E375" s="119" t="s">
        <v>2435</v>
      </c>
      <c r="F375" s="100" t="s">
        <v>2291</v>
      </c>
      <c r="G375" s="100" t="s">
        <v>1486</v>
      </c>
      <c r="H375" s="43" t="str">
        <f t="shared" si="99"/>
        <v>Rural MRSA Central</v>
      </c>
      <c r="I375" s="45">
        <f>INDEX('Fee Calc'!M:M,MATCH(C:C,'Fee Calc'!F:F,0))</f>
        <v>235162.01930760854</v>
      </c>
      <c r="J375" s="45">
        <f>INDEX('Fee Calc'!L:L,MATCH(C:C,'Fee Calc'!F:F,0))</f>
        <v>761905.61383651639</v>
      </c>
      <c r="K375" s="45">
        <f t="shared" si="100"/>
        <v>997067.63314412488</v>
      </c>
      <c r="L375" s="45">
        <v>101748.39</v>
      </c>
      <c r="M375" s="45">
        <v>216556.83</v>
      </c>
      <c r="N375" s="45">
        <f t="shared" si="101"/>
        <v>318305.21999999997</v>
      </c>
      <c r="O375" s="45">
        <v>702105.47193035658</v>
      </c>
      <c r="P375" s="45">
        <v>1493841.344165901</v>
      </c>
      <c r="Q375" s="45">
        <f t="shared" si="102"/>
        <v>2195946.8160962574</v>
      </c>
      <c r="R375" s="45" t="str">
        <f t="shared" si="103"/>
        <v>Yes</v>
      </c>
      <c r="S375" s="46" t="str">
        <f t="shared" si="103"/>
        <v>Yes</v>
      </c>
      <c r="T375" s="47">
        <f>ROUND(INDEX(Summary!H:H,MATCH(H:H,Summary!A:A,0)),2)</f>
        <v>0.09</v>
      </c>
      <c r="U375" s="47">
        <f>ROUND(INDEX(Summary!I:I,MATCH(H:H,Summary!A:A,0)),2)</f>
        <v>0.09</v>
      </c>
      <c r="V375" s="81">
        <f t="shared" si="104"/>
        <v>21164.581737684766</v>
      </c>
      <c r="W375" s="81">
        <f t="shared" si="104"/>
        <v>68571.505245286477</v>
      </c>
      <c r="X375" s="45">
        <f t="shared" si="105"/>
        <v>89736.086982971246</v>
      </c>
      <c r="Y375" s="45" t="s">
        <v>2752</v>
      </c>
      <c r="Z375" s="45" t="str">
        <f t="shared" si="106"/>
        <v>Yes</v>
      </c>
      <c r="AA375" s="45" t="str">
        <f t="shared" si="106"/>
        <v>Yes</v>
      </c>
      <c r="AB375" s="45" t="str">
        <f t="shared" si="107"/>
        <v>Yes</v>
      </c>
      <c r="AC375" s="82">
        <f t="shared" si="108"/>
        <v>2.02</v>
      </c>
      <c r="AD375" s="82">
        <f t="shared" si="108"/>
        <v>1.3</v>
      </c>
      <c r="AE375" s="45">
        <f t="shared" si="109"/>
        <v>475027.27900136926</v>
      </c>
      <c r="AF375" s="45">
        <f t="shared" si="109"/>
        <v>990477.29798747133</v>
      </c>
      <c r="AG375" s="45">
        <f t="shared" si="110"/>
        <v>1465504.5769888405</v>
      </c>
      <c r="AH375" s="47">
        <f>IFERROR(ROUNDDOWN(INDEX('90% of ACR'!K:K,MATCH(H:H,'90% of ACR'!A:A,0))*IF(I375&gt;0,IF(O375&gt;0,$R$4*MAX(O375-V375,0),0),0)/I375,2),0)</f>
        <v>1.03</v>
      </c>
      <c r="AI375" s="82">
        <f>IFERROR(ROUNDDOWN(INDEX('90% of ACR'!R:R,MATCH(H:H,'90% of ACR'!A:A,0))*IF(J375&gt;0,IF(P375&gt;0,$R$4*MAX(P375-W375,0),0),0)/J375,2),0)</f>
        <v>1.3</v>
      </c>
      <c r="AJ375" s="45">
        <f t="shared" si="111"/>
        <v>242216.8798868368</v>
      </c>
      <c r="AK375" s="45">
        <f t="shared" si="111"/>
        <v>990477.29798747133</v>
      </c>
      <c r="AL375" s="47">
        <f t="shared" si="112"/>
        <v>1.1200000000000001</v>
      </c>
      <c r="AM375" s="47">
        <f t="shared" si="112"/>
        <v>1.3900000000000001</v>
      </c>
      <c r="AN375" s="83">
        <f>IFERROR(INDEX('Fee Calc'!P:P,MATCH(C375,'Fee Calc'!F:F,0)),0)</f>
        <v>1322430.2648572794</v>
      </c>
      <c r="AO375" s="83">
        <f>IFERROR(INDEX('Fee Calc'!Q:Q,MATCH(C375,'Fee Calc'!F:F,0)),0)</f>
        <v>81398.433334478992</v>
      </c>
      <c r="AP375" s="83">
        <f t="shared" si="113"/>
        <v>1403828.6981917582</v>
      </c>
      <c r="AQ375" s="70">
        <f t="shared" si="114"/>
        <v>599479.77664622292</v>
      </c>
      <c r="AR375" s="70">
        <f t="shared" si="115"/>
        <v>299739.88832311146</v>
      </c>
      <c r="AS375" s="70">
        <f t="shared" si="116"/>
        <v>299739.88832311146</v>
      </c>
    </row>
    <row r="376" spans="1:45">
      <c r="A376" s="104" t="s">
        <v>353</v>
      </c>
      <c r="B376" s="124" t="s">
        <v>353</v>
      </c>
      <c r="C376" s="31" t="s">
        <v>354</v>
      </c>
      <c r="D376" s="125" t="s">
        <v>354</v>
      </c>
      <c r="E376" s="119" t="s">
        <v>2930</v>
      </c>
      <c r="F376" s="100" t="s">
        <v>2279</v>
      </c>
      <c r="G376" s="100" t="s">
        <v>223</v>
      </c>
      <c r="H376" s="43" t="str">
        <f t="shared" si="99"/>
        <v>Urban Dallas</v>
      </c>
      <c r="I376" s="45">
        <f>INDEX('Fee Calc'!M:M,MATCH(C:C,'Fee Calc'!F:F,0))</f>
        <v>85600.88723830464</v>
      </c>
      <c r="J376" s="45">
        <f>INDEX('Fee Calc'!L:L,MATCH(C:C,'Fee Calc'!F:F,0))</f>
        <v>576984.14590623463</v>
      </c>
      <c r="K376" s="45">
        <f t="shared" si="100"/>
        <v>662585.03314453922</v>
      </c>
      <c r="L376" s="45">
        <v>171233.89</v>
      </c>
      <c r="M376" s="45">
        <v>298874.61</v>
      </c>
      <c r="N376" s="45">
        <f t="shared" si="101"/>
        <v>470108.5</v>
      </c>
      <c r="O376" s="45">
        <v>183615.43799805053</v>
      </c>
      <c r="P376" s="45">
        <v>550633.90160255041</v>
      </c>
      <c r="Q376" s="45">
        <f t="shared" si="102"/>
        <v>734249.339600601</v>
      </c>
      <c r="R376" s="45" t="str">
        <f t="shared" si="103"/>
        <v>Yes</v>
      </c>
      <c r="S376" s="46" t="str">
        <f t="shared" si="103"/>
        <v>Yes</v>
      </c>
      <c r="T376" s="47">
        <f>ROUND(INDEX(Summary!H:H,MATCH(H:H,Summary!A:A,0)),2)</f>
        <v>0.54</v>
      </c>
      <c r="U376" s="47">
        <f>ROUND(INDEX(Summary!I:I,MATCH(H:H,Summary!A:A,0)),2)</f>
        <v>0.27</v>
      </c>
      <c r="V376" s="81">
        <f t="shared" si="104"/>
        <v>46224.479108684507</v>
      </c>
      <c r="W376" s="81">
        <f t="shared" si="104"/>
        <v>155785.71939468337</v>
      </c>
      <c r="X376" s="45">
        <f t="shared" si="105"/>
        <v>202010.19850336789</v>
      </c>
      <c r="Y376" s="45" t="s">
        <v>2752</v>
      </c>
      <c r="Z376" s="45" t="str">
        <f t="shared" si="106"/>
        <v>Yes</v>
      </c>
      <c r="AA376" s="45" t="str">
        <f t="shared" si="106"/>
        <v>Yes</v>
      </c>
      <c r="AB376" s="45" t="str">
        <f t="shared" si="107"/>
        <v>Yes</v>
      </c>
      <c r="AC376" s="82">
        <f t="shared" si="108"/>
        <v>1.1200000000000001</v>
      </c>
      <c r="AD376" s="82">
        <f t="shared" si="108"/>
        <v>0.48</v>
      </c>
      <c r="AE376" s="45">
        <f t="shared" si="109"/>
        <v>95872.993706901208</v>
      </c>
      <c r="AF376" s="45">
        <f t="shared" si="109"/>
        <v>276952.3900349926</v>
      </c>
      <c r="AG376" s="45">
        <f t="shared" si="110"/>
        <v>372825.38374189381</v>
      </c>
      <c r="AH376" s="47">
        <f>IFERROR(ROUNDDOWN(INDEX('90% of ACR'!K:K,MATCH(H:H,'90% of ACR'!A:A,0))*IF(I376&gt;0,IF(O376&gt;0,$R$4*MAX(O376-V376,0),0),0)/I376,2),0)</f>
        <v>1.1100000000000001</v>
      </c>
      <c r="AI376" s="82">
        <f>IFERROR(ROUNDDOWN(INDEX('90% of ACR'!R:R,MATCH(H:H,'90% of ACR'!A:A,0))*IF(J376&gt;0,IF(P376&gt;0,$R$4*MAX(P376-W376,0),0),0)/J376,2),0)</f>
        <v>0.47</v>
      </c>
      <c r="AJ376" s="45">
        <f t="shared" si="111"/>
        <v>95016.984834518153</v>
      </c>
      <c r="AK376" s="45">
        <f t="shared" si="111"/>
        <v>271182.54857593024</v>
      </c>
      <c r="AL376" s="47">
        <f t="shared" si="112"/>
        <v>1.6500000000000001</v>
      </c>
      <c r="AM376" s="47">
        <f t="shared" si="112"/>
        <v>0.74</v>
      </c>
      <c r="AN376" s="83">
        <f>IFERROR(INDEX('Fee Calc'!P:P,MATCH(C376,'Fee Calc'!F:F,0)),0)</f>
        <v>568209.7319138163</v>
      </c>
      <c r="AO376" s="83">
        <f>IFERROR(INDEX('Fee Calc'!Q:Q,MATCH(C376,'Fee Calc'!F:F,0)),0)</f>
        <v>35258.153152105559</v>
      </c>
      <c r="AP376" s="83">
        <f t="shared" si="113"/>
        <v>603467.88506592182</v>
      </c>
      <c r="AQ376" s="70">
        <f t="shared" si="114"/>
        <v>257700.09789547074</v>
      </c>
      <c r="AR376" s="70">
        <f t="shared" si="115"/>
        <v>128850.04894773537</v>
      </c>
      <c r="AS376" s="70">
        <f t="shared" si="116"/>
        <v>128850.04894773537</v>
      </c>
    </row>
    <row r="377" spans="1:45">
      <c r="A377" s="104" t="s">
        <v>889</v>
      </c>
      <c r="B377" s="124" t="s">
        <v>889</v>
      </c>
      <c r="C377" s="31" t="s">
        <v>890</v>
      </c>
      <c r="D377" s="125" t="s">
        <v>890</v>
      </c>
      <c r="E377" s="119" t="s">
        <v>2931</v>
      </c>
      <c r="F377" s="100" t="s">
        <v>2279</v>
      </c>
      <c r="G377" s="100" t="s">
        <v>227</v>
      </c>
      <c r="H377" s="43" t="str">
        <f t="shared" si="99"/>
        <v>Urban MRSA West</v>
      </c>
      <c r="I377" s="45">
        <f>INDEX('Fee Calc'!M:M,MATCH(C:C,'Fee Calc'!F:F,0))</f>
        <v>8010785.2969529796</v>
      </c>
      <c r="J377" s="45">
        <f>INDEX('Fee Calc'!L:L,MATCH(C:C,'Fee Calc'!F:F,0))</f>
        <v>5102334.4928395236</v>
      </c>
      <c r="K377" s="45">
        <f t="shared" si="100"/>
        <v>13113119.789792504</v>
      </c>
      <c r="L377" s="45">
        <v>-5963521.9800000004</v>
      </c>
      <c r="M377" s="45">
        <v>2892021.2</v>
      </c>
      <c r="N377" s="45">
        <f t="shared" si="101"/>
        <v>-3071500.7800000003</v>
      </c>
      <c r="O377" s="45">
        <v>-2220633.5210060459</v>
      </c>
      <c r="P377" s="45">
        <v>5215112.1048464198</v>
      </c>
      <c r="Q377" s="45">
        <f t="shared" si="102"/>
        <v>2994478.5838403739</v>
      </c>
      <c r="R377" s="45" t="str">
        <f t="shared" si="103"/>
        <v>No</v>
      </c>
      <c r="S377" s="46" t="str">
        <f t="shared" si="103"/>
        <v>Yes</v>
      </c>
      <c r="T377" s="47">
        <f>ROUND(INDEX(Summary!H:H,MATCH(H:H,Summary!A:A,0)),2)</f>
        <v>0.28999999999999998</v>
      </c>
      <c r="U377" s="47">
        <f>ROUND(INDEX(Summary!I:I,MATCH(H:H,Summary!A:A,0)),2)</f>
        <v>0.79</v>
      </c>
      <c r="V377" s="81">
        <f t="shared" si="104"/>
        <v>2323127.7361163641</v>
      </c>
      <c r="W377" s="81">
        <f t="shared" si="104"/>
        <v>4030844.2493432239</v>
      </c>
      <c r="X377" s="45">
        <f t="shared" si="105"/>
        <v>6353971.9854595885</v>
      </c>
      <c r="Y377" s="45" t="s">
        <v>2752</v>
      </c>
      <c r="Z377" s="45" t="str">
        <f t="shared" si="106"/>
        <v>No</v>
      </c>
      <c r="AA377" s="45" t="str">
        <f t="shared" si="106"/>
        <v>Yes</v>
      </c>
      <c r="AB377" s="45" t="str">
        <f t="shared" si="107"/>
        <v>Yes</v>
      </c>
      <c r="AC377" s="82">
        <f t="shared" si="108"/>
        <v>0</v>
      </c>
      <c r="AD377" s="82">
        <f t="shared" si="108"/>
        <v>0.16</v>
      </c>
      <c r="AE377" s="45">
        <f t="shared" si="109"/>
        <v>0</v>
      </c>
      <c r="AF377" s="45">
        <f t="shared" si="109"/>
        <v>816373.51885432377</v>
      </c>
      <c r="AG377" s="45">
        <f t="shared" si="110"/>
        <v>816373.51885432377</v>
      </c>
      <c r="AH377" s="47">
        <f>IFERROR(ROUNDDOWN(INDEX('90% of ACR'!K:K,MATCH(H:H,'90% of ACR'!A:A,0))*IF(I377&gt;0,IF(O377&gt;0,$R$4*MAX(O377-V377,0),0),0)/I377,2),0)</f>
        <v>0</v>
      </c>
      <c r="AI377" s="82">
        <f>IFERROR(ROUNDDOWN(INDEX('90% of ACR'!R:R,MATCH(H:H,'90% of ACR'!A:A,0))*IF(J377&gt;0,IF(P377&gt;0,$R$4*MAX(P377-W377,0),0),0)/J377,2),0)</f>
        <v>0.06</v>
      </c>
      <c r="AJ377" s="45">
        <f t="shared" si="111"/>
        <v>0</v>
      </c>
      <c r="AK377" s="45">
        <f t="shared" si="111"/>
        <v>306140.06957037142</v>
      </c>
      <c r="AL377" s="47">
        <f t="shared" si="112"/>
        <v>0.28999999999999998</v>
      </c>
      <c r="AM377" s="47">
        <f t="shared" si="112"/>
        <v>0.85000000000000009</v>
      </c>
      <c r="AN377" s="83">
        <f>IFERROR(INDEX('Fee Calc'!P:P,MATCH(C377,'Fee Calc'!F:F,0)),0)</f>
        <v>6660112.0550299603</v>
      </c>
      <c r="AO377" s="83">
        <f>IFERROR(INDEX('Fee Calc'!Q:Q,MATCH(C377,'Fee Calc'!F:F,0)),0)</f>
        <v>409499.60675128771</v>
      </c>
      <c r="AP377" s="83">
        <f t="shared" si="113"/>
        <v>7069611.6617812477</v>
      </c>
      <c r="AQ377" s="70">
        <f t="shared" si="114"/>
        <v>3018950.4071537694</v>
      </c>
      <c r="AR377" s="70">
        <f t="shared" si="115"/>
        <v>1509475.2035768847</v>
      </c>
      <c r="AS377" s="70">
        <f t="shared" si="116"/>
        <v>1509475.2035768847</v>
      </c>
    </row>
    <row r="378" spans="1:45">
      <c r="A378" s="104" t="s">
        <v>780</v>
      </c>
      <c r="B378" s="124" t="s">
        <v>780</v>
      </c>
      <c r="C378" s="31" t="s">
        <v>781</v>
      </c>
      <c r="D378" s="125" t="s">
        <v>781</v>
      </c>
      <c r="E378" s="119" t="s">
        <v>2436</v>
      </c>
      <c r="F378" s="100" t="s">
        <v>2291</v>
      </c>
      <c r="G378" s="100" t="s">
        <v>1365</v>
      </c>
      <c r="H378" s="43" t="str">
        <f t="shared" si="99"/>
        <v>Rural Tarrant</v>
      </c>
      <c r="I378" s="45">
        <f>INDEX('Fee Calc'!M:M,MATCH(C:C,'Fee Calc'!F:F,0))</f>
        <v>3762724.8722720947</v>
      </c>
      <c r="J378" s="45">
        <f>INDEX('Fee Calc'!L:L,MATCH(C:C,'Fee Calc'!F:F,0))</f>
        <v>2121272.356788713</v>
      </c>
      <c r="K378" s="45">
        <f t="shared" si="100"/>
        <v>5883997.2290608082</v>
      </c>
      <c r="L378" s="45">
        <v>-437085.63</v>
      </c>
      <c r="M378" s="45">
        <v>1542279.68</v>
      </c>
      <c r="N378" s="45">
        <f t="shared" si="101"/>
        <v>1105194.0499999998</v>
      </c>
      <c r="O378" s="45">
        <v>6394275.5918607963</v>
      </c>
      <c r="P378" s="45">
        <v>5239349.2718787063</v>
      </c>
      <c r="Q378" s="45">
        <f t="shared" si="102"/>
        <v>11633624.863739502</v>
      </c>
      <c r="R378" s="45" t="str">
        <f t="shared" si="103"/>
        <v>Yes</v>
      </c>
      <c r="S378" s="46" t="str">
        <f t="shared" si="103"/>
        <v>Yes</v>
      </c>
      <c r="T378" s="47">
        <f>ROUND(INDEX(Summary!H:H,MATCH(H:H,Summary!A:A,0)),2)</f>
        <v>0</v>
      </c>
      <c r="U378" s="47">
        <f>ROUND(INDEX(Summary!I:I,MATCH(H:H,Summary!A:A,0)),2)</f>
        <v>0.47</v>
      </c>
      <c r="V378" s="81">
        <f t="shared" si="104"/>
        <v>0</v>
      </c>
      <c r="W378" s="81">
        <f t="shared" si="104"/>
        <v>996998.00769069511</v>
      </c>
      <c r="X378" s="45">
        <f t="shared" si="105"/>
        <v>996998.00769069511</v>
      </c>
      <c r="Y378" s="45" t="s">
        <v>2752</v>
      </c>
      <c r="Z378" s="45" t="str">
        <f t="shared" si="106"/>
        <v>Yes</v>
      </c>
      <c r="AA378" s="45" t="str">
        <f t="shared" si="106"/>
        <v>Yes</v>
      </c>
      <c r="AB378" s="45" t="str">
        <f t="shared" si="107"/>
        <v>Yes</v>
      </c>
      <c r="AC378" s="82">
        <f t="shared" si="108"/>
        <v>1.18</v>
      </c>
      <c r="AD378" s="82">
        <f t="shared" si="108"/>
        <v>1.39</v>
      </c>
      <c r="AE378" s="45">
        <f t="shared" si="109"/>
        <v>4440015.3492810717</v>
      </c>
      <c r="AF378" s="45">
        <f t="shared" si="109"/>
        <v>2948568.5759363109</v>
      </c>
      <c r="AG378" s="45">
        <f t="shared" si="110"/>
        <v>7388583.9252173826</v>
      </c>
      <c r="AH378" s="47">
        <f>IFERROR(ROUNDDOWN(INDEX('90% of ACR'!K:K,MATCH(H:H,'90% of ACR'!A:A,0))*IF(I378&gt;0,IF(O378&gt;0,$R$4*MAX(O378-V378,0),0),0)/I378,2),0)</f>
        <v>1.18</v>
      </c>
      <c r="AI378" s="82">
        <f>IFERROR(ROUNDDOWN(INDEX('90% of ACR'!R:R,MATCH(H:H,'90% of ACR'!A:A,0))*IF(J378&gt;0,IF(P378&gt;0,$R$4*MAX(P378-W378,0),0),0)/J378,2),0)</f>
        <v>1.39</v>
      </c>
      <c r="AJ378" s="45">
        <f t="shared" si="111"/>
        <v>4440015.3492810717</v>
      </c>
      <c r="AK378" s="45">
        <f t="shared" si="111"/>
        <v>2948568.5759363109</v>
      </c>
      <c r="AL378" s="47">
        <f t="shared" si="112"/>
        <v>1.18</v>
      </c>
      <c r="AM378" s="47">
        <f t="shared" si="112"/>
        <v>1.8599999999999999</v>
      </c>
      <c r="AN378" s="83">
        <f>IFERROR(INDEX('Fee Calc'!P:P,MATCH(C378,'Fee Calc'!F:F,0)),0)</f>
        <v>8385581.9329080777</v>
      </c>
      <c r="AO378" s="83">
        <f>IFERROR(INDEX('Fee Calc'!Q:Q,MATCH(C378,'Fee Calc'!F:F,0)),0)</f>
        <v>517831.97718404513</v>
      </c>
      <c r="AP378" s="83">
        <f t="shared" si="113"/>
        <v>8903413.9100921229</v>
      </c>
      <c r="AQ378" s="70">
        <f t="shared" si="114"/>
        <v>3802042.6488544592</v>
      </c>
      <c r="AR378" s="70">
        <f t="shared" si="115"/>
        <v>1901021.3244272296</v>
      </c>
      <c r="AS378" s="70">
        <f t="shared" si="116"/>
        <v>1901021.3244272296</v>
      </c>
    </row>
    <row r="379" spans="1:45">
      <c r="A379" s="104" t="s">
        <v>789</v>
      </c>
      <c r="B379" s="124" t="s">
        <v>789</v>
      </c>
      <c r="C379" s="31" t="s">
        <v>790</v>
      </c>
      <c r="D379" s="125" t="s">
        <v>790</v>
      </c>
      <c r="E379" s="119" t="s">
        <v>2437</v>
      </c>
      <c r="F379" s="100" t="s">
        <v>2279</v>
      </c>
      <c r="G379" s="100" t="s">
        <v>1514</v>
      </c>
      <c r="H379" s="43" t="str">
        <f t="shared" si="99"/>
        <v>Urban Hidalgo</v>
      </c>
      <c r="I379" s="45">
        <f>INDEX('Fee Calc'!M:M,MATCH(C:C,'Fee Calc'!F:F,0))</f>
        <v>15099414.736331891</v>
      </c>
      <c r="J379" s="45">
        <f>INDEX('Fee Calc'!L:L,MATCH(C:C,'Fee Calc'!F:F,0))</f>
        <v>12135624.473488305</v>
      </c>
      <c r="K379" s="45">
        <f t="shared" si="100"/>
        <v>27235039.209820196</v>
      </c>
      <c r="L379" s="45">
        <v>10447525.880000001</v>
      </c>
      <c r="M379" s="45">
        <v>6636232.1699999999</v>
      </c>
      <c r="N379" s="45">
        <f t="shared" si="101"/>
        <v>17083758.050000001</v>
      </c>
      <c r="O379" s="45">
        <v>32313507.042597666</v>
      </c>
      <c r="P379" s="45">
        <v>14947070.207233679</v>
      </c>
      <c r="Q379" s="45">
        <f t="shared" si="102"/>
        <v>47260577.249831349</v>
      </c>
      <c r="R379" s="45" t="str">
        <f t="shared" si="103"/>
        <v>Yes</v>
      </c>
      <c r="S379" s="46" t="str">
        <f t="shared" si="103"/>
        <v>Yes</v>
      </c>
      <c r="T379" s="47">
        <f>ROUND(INDEX(Summary!H:H,MATCH(H:H,Summary!A:A,0)),2)</f>
        <v>0.63</v>
      </c>
      <c r="U379" s="47">
        <f>ROUND(INDEX(Summary!I:I,MATCH(H:H,Summary!A:A,0)),2)</f>
        <v>0.48</v>
      </c>
      <c r="V379" s="81">
        <f t="shared" si="104"/>
        <v>9512631.2838890906</v>
      </c>
      <c r="W379" s="81">
        <f t="shared" si="104"/>
        <v>5825099.7472743858</v>
      </c>
      <c r="X379" s="45">
        <f t="shared" si="105"/>
        <v>15337731.031163476</v>
      </c>
      <c r="Y379" s="45" t="s">
        <v>2752</v>
      </c>
      <c r="Z379" s="45" t="str">
        <f t="shared" si="106"/>
        <v>Yes</v>
      </c>
      <c r="AA379" s="45" t="str">
        <f t="shared" si="106"/>
        <v>Yes</v>
      </c>
      <c r="AB379" s="45" t="str">
        <f t="shared" si="107"/>
        <v>Yes</v>
      </c>
      <c r="AC379" s="82">
        <f t="shared" si="108"/>
        <v>1.05</v>
      </c>
      <c r="AD379" s="82">
        <f t="shared" si="108"/>
        <v>0.52</v>
      </c>
      <c r="AE379" s="45">
        <f t="shared" si="109"/>
        <v>15854385.473148486</v>
      </c>
      <c r="AF379" s="45">
        <f t="shared" si="109"/>
        <v>6310524.726213919</v>
      </c>
      <c r="AG379" s="45">
        <f t="shared" si="110"/>
        <v>22164910.199362405</v>
      </c>
      <c r="AH379" s="47">
        <f>IFERROR(ROUNDDOWN(INDEX('90% of ACR'!K:K,MATCH(H:H,'90% of ACR'!A:A,0))*IF(I379&gt;0,IF(O379&gt;0,$R$4*MAX(O379-V379,0),0),0)/I379,2),0)</f>
        <v>1.05</v>
      </c>
      <c r="AI379" s="82">
        <f>IFERROR(ROUNDDOWN(INDEX('90% of ACR'!R:R,MATCH(H:H,'90% of ACR'!A:A,0))*IF(J379&gt;0,IF(P379&gt;0,$R$4*MAX(P379-W379,0),0),0)/J379,2),0)</f>
        <v>0.5</v>
      </c>
      <c r="AJ379" s="45">
        <f t="shared" si="111"/>
        <v>15854385.473148486</v>
      </c>
      <c r="AK379" s="45">
        <f t="shared" si="111"/>
        <v>6067812.2367441524</v>
      </c>
      <c r="AL379" s="47">
        <f t="shared" si="112"/>
        <v>1.6800000000000002</v>
      </c>
      <c r="AM379" s="47">
        <f t="shared" si="112"/>
        <v>0.98</v>
      </c>
      <c r="AN379" s="83">
        <f>IFERROR(INDEX('Fee Calc'!P:P,MATCH(C379,'Fee Calc'!F:F,0)),0)</f>
        <v>37259928.741056114</v>
      </c>
      <c r="AO379" s="83">
        <f>IFERROR(INDEX('Fee Calc'!Q:Q,MATCH(C379,'Fee Calc'!F:F,0)),0)</f>
        <v>2300541.0299276221</v>
      </c>
      <c r="AP379" s="83">
        <f t="shared" si="113"/>
        <v>39560469.770983733</v>
      </c>
      <c r="AQ379" s="70">
        <f t="shared" si="114"/>
        <v>16893586.527242728</v>
      </c>
      <c r="AR379" s="70">
        <f t="shared" si="115"/>
        <v>8446793.2636213638</v>
      </c>
      <c r="AS379" s="70">
        <f t="shared" si="116"/>
        <v>8446793.2636213638</v>
      </c>
    </row>
    <row r="380" spans="1:45">
      <c r="A380" s="104" t="s">
        <v>554</v>
      </c>
      <c r="B380" s="124" t="s">
        <v>554</v>
      </c>
      <c r="C380" s="31" t="s">
        <v>555</v>
      </c>
      <c r="D380" s="125" t="s">
        <v>555</v>
      </c>
      <c r="E380" s="119" t="s">
        <v>2439</v>
      </c>
      <c r="F380" s="100" t="s">
        <v>2279</v>
      </c>
      <c r="G380" s="100" t="s">
        <v>1202</v>
      </c>
      <c r="H380" s="43" t="str">
        <f t="shared" si="99"/>
        <v>Urban Travis</v>
      </c>
      <c r="I380" s="45">
        <f>INDEX('Fee Calc'!M:M,MATCH(C:C,'Fee Calc'!F:F,0))</f>
        <v>1794725.0709564362</v>
      </c>
      <c r="J380" s="45">
        <f>INDEX('Fee Calc'!L:L,MATCH(C:C,'Fee Calc'!F:F,0))</f>
        <v>1860820.0532052463</v>
      </c>
      <c r="K380" s="45">
        <f t="shared" si="100"/>
        <v>3655545.1241616826</v>
      </c>
      <c r="L380" s="45">
        <v>740258.97</v>
      </c>
      <c r="M380" s="45">
        <v>844847.07</v>
      </c>
      <c r="N380" s="45">
        <f t="shared" si="101"/>
        <v>1585106.04</v>
      </c>
      <c r="O380" s="45">
        <v>3144125.4734741831</v>
      </c>
      <c r="P380" s="45">
        <v>1112919.0687214064</v>
      </c>
      <c r="Q380" s="45">
        <f t="shared" si="102"/>
        <v>4257044.5421955893</v>
      </c>
      <c r="R380" s="45" t="str">
        <f t="shared" si="103"/>
        <v>Yes</v>
      </c>
      <c r="S380" s="46" t="str">
        <f t="shared" si="103"/>
        <v>Yes</v>
      </c>
      <c r="T380" s="47">
        <f>ROUND(INDEX(Summary!H:H,MATCH(H:H,Summary!A:A,0)),2)</f>
        <v>0.35</v>
      </c>
      <c r="U380" s="47">
        <f>ROUND(INDEX(Summary!I:I,MATCH(H:H,Summary!A:A,0)),2)</f>
        <v>0.92</v>
      </c>
      <c r="V380" s="81">
        <f t="shared" si="104"/>
        <v>628153.77483475266</v>
      </c>
      <c r="W380" s="81">
        <f t="shared" si="104"/>
        <v>1711954.4489488266</v>
      </c>
      <c r="X380" s="45">
        <f t="shared" si="105"/>
        <v>2340108.2237835792</v>
      </c>
      <c r="Y380" s="45" t="s">
        <v>2752</v>
      </c>
      <c r="Z380" s="45" t="str">
        <f t="shared" si="106"/>
        <v>Yes</v>
      </c>
      <c r="AA380" s="45" t="str">
        <f t="shared" si="106"/>
        <v>No</v>
      </c>
      <c r="AB380" s="45" t="str">
        <f t="shared" si="107"/>
        <v>Yes</v>
      </c>
      <c r="AC380" s="82">
        <f t="shared" si="108"/>
        <v>0.98</v>
      </c>
      <c r="AD380" s="82">
        <f t="shared" si="108"/>
        <v>0</v>
      </c>
      <c r="AE380" s="45">
        <f t="shared" si="109"/>
        <v>1758830.5695373074</v>
      </c>
      <c r="AF380" s="45">
        <f t="shared" si="109"/>
        <v>0</v>
      </c>
      <c r="AG380" s="45">
        <f t="shared" si="110"/>
        <v>1758830.5695373074</v>
      </c>
      <c r="AH380" s="47">
        <f>IFERROR(ROUNDDOWN(INDEX('90% of ACR'!K:K,MATCH(H:H,'90% of ACR'!A:A,0))*IF(I380&gt;0,IF(O380&gt;0,$R$4*MAX(O380-V380,0),0),0)/I380,2),0)</f>
        <v>0.97</v>
      </c>
      <c r="AI380" s="82">
        <f>IFERROR(ROUNDDOWN(INDEX('90% of ACR'!R:R,MATCH(H:H,'90% of ACR'!A:A,0))*IF(J380&gt;0,IF(P380&gt;0,$R$4*MAX(P380-W380,0),0),0)/J380,2),0)</f>
        <v>0</v>
      </c>
      <c r="AJ380" s="45">
        <f t="shared" si="111"/>
        <v>1740883.3188277432</v>
      </c>
      <c r="AK380" s="45">
        <f t="shared" si="111"/>
        <v>0</v>
      </c>
      <c r="AL380" s="47">
        <f t="shared" si="112"/>
        <v>1.3199999999999998</v>
      </c>
      <c r="AM380" s="47">
        <f t="shared" si="112"/>
        <v>0.92</v>
      </c>
      <c r="AN380" s="83">
        <f>IFERROR(INDEX('Fee Calc'!P:P,MATCH(C380,'Fee Calc'!F:F,0)),0)</f>
        <v>4080991.5426113224</v>
      </c>
      <c r="AO380" s="83">
        <f>IFERROR(INDEX('Fee Calc'!Q:Q,MATCH(C380,'Fee Calc'!F:F,0)),0)</f>
        <v>250813.61138281593</v>
      </c>
      <c r="AP380" s="83">
        <f t="shared" si="113"/>
        <v>4331805.1539941384</v>
      </c>
      <c r="AQ380" s="70">
        <f t="shared" si="114"/>
        <v>1849819.418520425</v>
      </c>
      <c r="AR380" s="70">
        <f t="shared" si="115"/>
        <v>924909.70926021249</v>
      </c>
      <c r="AS380" s="70">
        <f t="shared" si="116"/>
        <v>924909.70926021249</v>
      </c>
    </row>
    <row r="381" spans="1:45">
      <c r="A381" s="104" t="s">
        <v>1552</v>
      </c>
      <c r="B381" s="124" t="s">
        <v>1552</v>
      </c>
      <c r="C381" s="31" t="s">
        <v>1697</v>
      </c>
      <c r="D381" s="125" t="s">
        <v>1697</v>
      </c>
      <c r="E381" s="119" t="s">
        <v>2441</v>
      </c>
      <c r="F381" s="100" t="s">
        <v>2279</v>
      </c>
      <c r="G381" s="100" t="s">
        <v>1548</v>
      </c>
      <c r="H381" s="43" t="str">
        <f t="shared" si="99"/>
        <v>Urban Nueces</v>
      </c>
      <c r="I381" s="45">
        <f>INDEX('Fee Calc'!M:M,MATCH(C:C,'Fee Calc'!F:F,0))</f>
        <v>7074047.81853549</v>
      </c>
      <c r="J381" s="45">
        <f>INDEX('Fee Calc'!L:L,MATCH(C:C,'Fee Calc'!F:F,0))</f>
        <v>3908909.0556997317</v>
      </c>
      <c r="K381" s="45">
        <f t="shared" si="100"/>
        <v>10982956.874235222</v>
      </c>
      <c r="L381" s="45">
        <v>3960595.58</v>
      </c>
      <c r="M381" s="45">
        <v>2550054.12</v>
      </c>
      <c r="N381" s="45">
        <f t="shared" si="101"/>
        <v>6510649.7000000002</v>
      </c>
      <c r="O381" s="45">
        <v>12278105.60304454</v>
      </c>
      <c r="P381" s="45">
        <v>6442716.0107443072</v>
      </c>
      <c r="Q381" s="45">
        <f t="shared" si="102"/>
        <v>18720821.613788847</v>
      </c>
      <c r="R381" s="45" t="str">
        <f t="shared" si="103"/>
        <v>Yes</v>
      </c>
      <c r="S381" s="46" t="str">
        <f t="shared" si="103"/>
        <v>Yes</v>
      </c>
      <c r="T381" s="47">
        <f>ROUND(INDEX(Summary!H:H,MATCH(H:H,Summary!A:A,0)),2)</f>
        <v>0.28999999999999998</v>
      </c>
      <c r="U381" s="47">
        <f>ROUND(INDEX(Summary!I:I,MATCH(H:H,Summary!A:A,0)),2)</f>
        <v>0.68</v>
      </c>
      <c r="V381" s="81">
        <f t="shared" si="104"/>
        <v>2051473.8673752919</v>
      </c>
      <c r="W381" s="81">
        <f t="shared" si="104"/>
        <v>2658058.1578758177</v>
      </c>
      <c r="X381" s="45">
        <f t="shared" si="105"/>
        <v>4709532.0252511092</v>
      </c>
      <c r="Y381" s="45" t="s">
        <v>2752</v>
      </c>
      <c r="Z381" s="45" t="str">
        <f t="shared" si="106"/>
        <v>Yes</v>
      </c>
      <c r="AA381" s="45" t="str">
        <f t="shared" si="106"/>
        <v>Yes</v>
      </c>
      <c r="AB381" s="45" t="str">
        <f t="shared" si="107"/>
        <v>Yes</v>
      </c>
      <c r="AC381" s="82">
        <f t="shared" si="108"/>
        <v>1.01</v>
      </c>
      <c r="AD381" s="82">
        <f t="shared" si="108"/>
        <v>0.67</v>
      </c>
      <c r="AE381" s="45">
        <f t="shared" si="109"/>
        <v>7144788.2967208447</v>
      </c>
      <c r="AF381" s="45">
        <f t="shared" si="109"/>
        <v>2618969.0673188204</v>
      </c>
      <c r="AG381" s="45">
        <f t="shared" si="110"/>
        <v>9763757.3640396651</v>
      </c>
      <c r="AH381" s="47">
        <f>IFERROR(ROUNDDOWN(INDEX('90% of ACR'!K:K,MATCH(H:H,'90% of ACR'!A:A,0))*IF(I381&gt;0,IF(O381&gt;0,$R$4*MAX(O381-V381,0),0),0)/I381,2),0)</f>
        <v>1</v>
      </c>
      <c r="AI381" s="82">
        <f>IFERROR(ROUNDDOWN(INDEX('90% of ACR'!R:R,MATCH(H:H,'90% of ACR'!A:A,0))*IF(J381&gt;0,IF(P381&gt;0,$R$4*MAX(P381-W381,0),0),0)/J381,2),0)</f>
        <v>0.6</v>
      </c>
      <c r="AJ381" s="45">
        <f t="shared" si="111"/>
        <v>7074047.81853549</v>
      </c>
      <c r="AK381" s="45">
        <f t="shared" si="111"/>
        <v>2345345.433419839</v>
      </c>
      <c r="AL381" s="47">
        <f t="shared" si="112"/>
        <v>1.29</v>
      </c>
      <c r="AM381" s="47">
        <f t="shared" si="112"/>
        <v>1.28</v>
      </c>
      <c r="AN381" s="83">
        <f>IFERROR(INDEX('Fee Calc'!P:P,MATCH(C381,'Fee Calc'!F:F,0)),0)</f>
        <v>14128925.27720644</v>
      </c>
      <c r="AO381" s="83">
        <f>IFERROR(INDEX('Fee Calc'!Q:Q,MATCH(C381,'Fee Calc'!F:F,0)),0)</f>
        <v>872086.70638302632</v>
      </c>
      <c r="AP381" s="83">
        <f t="shared" si="113"/>
        <v>15001011.983589467</v>
      </c>
      <c r="AQ381" s="70">
        <f t="shared" si="114"/>
        <v>6405912.1493761763</v>
      </c>
      <c r="AR381" s="70">
        <f t="shared" si="115"/>
        <v>3202956.0746880881</v>
      </c>
      <c r="AS381" s="70">
        <f t="shared" si="116"/>
        <v>3202956.0746880881</v>
      </c>
    </row>
    <row r="382" spans="1:45">
      <c r="A382" s="104" t="s">
        <v>807</v>
      </c>
      <c r="B382" s="124" t="s">
        <v>807</v>
      </c>
      <c r="C382" s="31" t="s">
        <v>808</v>
      </c>
      <c r="D382" s="125" t="s">
        <v>808</v>
      </c>
      <c r="E382" s="119" t="s">
        <v>2442</v>
      </c>
      <c r="F382" s="100" t="s">
        <v>2279</v>
      </c>
      <c r="G382" s="100" t="s">
        <v>310</v>
      </c>
      <c r="H382" s="43" t="str">
        <f t="shared" si="99"/>
        <v>Urban MRSA Northeast</v>
      </c>
      <c r="I382" s="45">
        <f>INDEX('Fee Calc'!M:M,MATCH(C:C,'Fee Calc'!F:F,0))</f>
        <v>9667713.9419801459</v>
      </c>
      <c r="J382" s="45">
        <f>INDEX('Fee Calc'!L:L,MATCH(C:C,'Fee Calc'!F:F,0))</f>
        <v>2717875.1869810382</v>
      </c>
      <c r="K382" s="45">
        <f t="shared" si="100"/>
        <v>12385589.128961183</v>
      </c>
      <c r="L382" s="45">
        <v>4160571.81</v>
      </c>
      <c r="M382" s="45">
        <v>2922682.92</v>
      </c>
      <c r="N382" s="45">
        <f t="shared" si="101"/>
        <v>7083254.7300000004</v>
      </c>
      <c r="O382" s="45">
        <v>12734523.892687947</v>
      </c>
      <c r="P382" s="45">
        <v>4205731.3158891695</v>
      </c>
      <c r="Q382" s="45">
        <f t="shared" si="102"/>
        <v>16940255.208577115</v>
      </c>
      <c r="R382" s="45" t="str">
        <f t="shared" si="103"/>
        <v>Yes</v>
      </c>
      <c r="S382" s="46" t="str">
        <f t="shared" si="103"/>
        <v>Yes</v>
      </c>
      <c r="T382" s="47">
        <f>ROUND(INDEX(Summary!H:H,MATCH(H:H,Summary!A:A,0)),2)</f>
        <v>0.6</v>
      </c>
      <c r="U382" s="47">
        <f>ROUND(INDEX(Summary!I:I,MATCH(H:H,Summary!A:A,0)),2)</f>
        <v>0.99</v>
      </c>
      <c r="V382" s="81">
        <f t="shared" si="104"/>
        <v>5800628.3651880873</v>
      </c>
      <c r="W382" s="81">
        <f t="shared" si="104"/>
        <v>2690696.4351112279</v>
      </c>
      <c r="X382" s="45">
        <f t="shared" si="105"/>
        <v>8491324.8002993148</v>
      </c>
      <c r="Y382" s="45" t="s">
        <v>2752</v>
      </c>
      <c r="Z382" s="45" t="str">
        <f t="shared" si="106"/>
        <v>Yes</v>
      </c>
      <c r="AA382" s="45" t="str">
        <f t="shared" si="106"/>
        <v>Yes</v>
      </c>
      <c r="AB382" s="45" t="str">
        <f t="shared" si="107"/>
        <v>Yes</v>
      </c>
      <c r="AC382" s="82">
        <f t="shared" si="108"/>
        <v>0.5</v>
      </c>
      <c r="AD382" s="82">
        <f t="shared" si="108"/>
        <v>0.39</v>
      </c>
      <c r="AE382" s="45">
        <f t="shared" si="109"/>
        <v>4833856.9709900729</v>
      </c>
      <c r="AF382" s="45">
        <f t="shared" si="109"/>
        <v>1059971.3229226049</v>
      </c>
      <c r="AG382" s="45">
        <f t="shared" si="110"/>
        <v>5893828.293912678</v>
      </c>
      <c r="AH382" s="47">
        <f>IFERROR(ROUNDDOWN(INDEX('90% of ACR'!K:K,MATCH(H:H,'90% of ACR'!A:A,0))*IF(I382&gt;0,IF(O382&gt;0,$R$4*MAX(O382-V382,0),0),0)/I382,2),0)</f>
        <v>0.49</v>
      </c>
      <c r="AI382" s="82">
        <f>IFERROR(ROUNDDOWN(INDEX('90% of ACR'!R:R,MATCH(H:H,'90% of ACR'!A:A,0))*IF(J382&gt;0,IF(P382&gt;0,$R$4*MAX(P382-W382,0),0),0)/J382,2),0)</f>
        <v>0.38</v>
      </c>
      <c r="AJ382" s="45">
        <f t="shared" si="111"/>
        <v>4737179.8315702714</v>
      </c>
      <c r="AK382" s="45">
        <f t="shared" si="111"/>
        <v>1032792.5710527946</v>
      </c>
      <c r="AL382" s="47">
        <f t="shared" si="112"/>
        <v>1.0899999999999999</v>
      </c>
      <c r="AM382" s="47">
        <f t="shared" si="112"/>
        <v>1.37</v>
      </c>
      <c r="AN382" s="83">
        <f>IFERROR(INDEX('Fee Calc'!P:P,MATCH(C382,'Fee Calc'!F:F,0)),0)</f>
        <v>14261297.202922381</v>
      </c>
      <c r="AO382" s="83">
        <f>IFERROR(INDEX('Fee Calc'!Q:Q,MATCH(C382,'Fee Calc'!F:F,0)),0)</f>
        <v>879496.75441577169</v>
      </c>
      <c r="AP382" s="83">
        <f t="shared" si="113"/>
        <v>15140793.957338152</v>
      </c>
      <c r="AQ382" s="70">
        <f t="shared" si="114"/>
        <v>6465603.5251900256</v>
      </c>
      <c r="AR382" s="70">
        <f t="shared" si="115"/>
        <v>3232801.7625950128</v>
      </c>
      <c r="AS382" s="70">
        <f t="shared" si="116"/>
        <v>3232801.7625950128</v>
      </c>
    </row>
    <row r="383" spans="1:45">
      <c r="A383" s="104" t="s">
        <v>1180</v>
      </c>
      <c r="B383" s="124" t="s">
        <v>1180</v>
      </c>
      <c r="C383" s="31" t="s">
        <v>1181</v>
      </c>
      <c r="D383" s="125" t="s">
        <v>1181</v>
      </c>
      <c r="E383" s="119" t="s">
        <v>2346</v>
      </c>
      <c r="F383" s="100" t="s">
        <v>2291</v>
      </c>
      <c r="G383" s="100" t="s">
        <v>310</v>
      </c>
      <c r="H383" s="43" t="str">
        <f t="shared" si="99"/>
        <v>Rural MRSA Northeast</v>
      </c>
      <c r="I383" s="45">
        <f>INDEX('Fee Calc'!M:M,MATCH(C:C,'Fee Calc'!F:F,0))</f>
        <v>10590596.72798527</v>
      </c>
      <c r="J383" s="45">
        <f>INDEX('Fee Calc'!L:L,MATCH(C:C,'Fee Calc'!F:F,0))</f>
        <v>2124089.3363468498</v>
      </c>
      <c r="K383" s="45">
        <f t="shared" si="100"/>
        <v>12714686.06433212</v>
      </c>
      <c r="L383" s="45">
        <v>-1491124.81</v>
      </c>
      <c r="M383" s="45">
        <v>835821.32</v>
      </c>
      <c r="N383" s="45">
        <f t="shared" si="101"/>
        <v>-655303.49000000011</v>
      </c>
      <c r="O383" s="45">
        <v>4048456.1789713101</v>
      </c>
      <c r="P383" s="45">
        <v>1793434.9185744824</v>
      </c>
      <c r="Q383" s="45">
        <f t="shared" si="102"/>
        <v>5841891.0975457923</v>
      </c>
      <c r="R383" s="45" t="str">
        <f t="shared" si="103"/>
        <v>Yes</v>
      </c>
      <c r="S383" s="46" t="str">
        <f t="shared" si="103"/>
        <v>Yes</v>
      </c>
      <c r="T383" s="47">
        <f>ROUND(INDEX(Summary!H:H,MATCH(H:H,Summary!A:A,0)),2)</f>
        <v>0</v>
      </c>
      <c r="U383" s="47">
        <f>ROUND(INDEX(Summary!I:I,MATCH(H:H,Summary!A:A,0)),2)</f>
        <v>0.3</v>
      </c>
      <c r="V383" s="81">
        <f t="shared" si="104"/>
        <v>0</v>
      </c>
      <c r="W383" s="81">
        <f t="shared" si="104"/>
        <v>637226.80090405489</v>
      </c>
      <c r="X383" s="45">
        <f t="shared" si="105"/>
        <v>637226.80090405489</v>
      </c>
      <c r="Y383" s="45" t="s">
        <v>2752</v>
      </c>
      <c r="Z383" s="45" t="str">
        <f t="shared" si="106"/>
        <v>Yes</v>
      </c>
      <c r="AA383" s="45" t="str">
        <f t="shared" si="106"/>
        <v>Yes</v>
      </c>
      <c r="AB383" s="45" t="str">
        <f t="shared" si="107"/>
        <v>Yes</v>
      </c>
      <c r="AC383" s="82">
        <f t="shared" si="108"/>
        <v>0.27</v>
      </c>
      <c r="AD383" s="82">
        <f t="shared" si="108"/>
        <v>0.38</v>
      </c>
      <c r="AE383" s="45">
        <f t="shared" si="109"/>
        <v>2859461.1165560232</v>
      </c>
      <c r="AF383" s="45">
        <f t="shared" si="109"/>
        <v>807153.94781180297</v>
      </c>
      <c r="AG383" s="45">
        <f t="shared" si="110"/>
        <v>3666615.0643678261</v>
      </c>
      <c r="AH383" s="47">
        <f>IFERROR(ROUNDDOWN(INDEX('90% of ACR'!K:K,MATCH(H:H,'90% of ACR'!A:A,0))*IF(I383&gt;0,IF(O383&gt;0,$R$4*MAX(O383-V383,0),0),0)/I383,2),0)</f>
        <v>0.18</v>
      </c>
      <c r="AI383" s="82">
        <f>IFERROR(ROUNDDOWN(INDEX('90% of ACR'!R:R,MATCH(H:H,'90% of ACR'!A:A,0))*IF(J383&gt;0,IF(P383&gt;0,$R$4*MAX(P383-W383,0),0),0)/J383,2),0)</f>
        <v>0.37</v>
      </c>
      <c r="AJ383" s="45">
        <f t="shared" si="111"/>
        <v>1906307.4110373487</v>
      </c>
      <c r="AK383" s="45">
        <f t="shared" si="111"/>
        <v>785913.05444833438</v>
      </c>
      <c r="AL383" s="47">
        <f t="shared" si="112"/>
        <v>0.18</v>
      </c>
      <c r="AM383" s="47">
        <f t="shared" si="112"/>
        <v>0.66999999999999993</v>
      </c>
      <c r="AN383" s="83">
        <f>IFERROR(INDEX('Fee Calc'!P:P,MATCH(C383,'Fee Calc'!F:F,0)),0)</f>
        <v>3329447.2663897378</v>
      </c>
      <c r="AO383" s="83">
        <f>IFERROR(INDEX('Fee Calc'!Q:Q,MATCH(C383,'Fee Calc'!F:F,0)),0)</f>
        <v>204739.00555910717</v>
      </c>
      <c r="AP383" s="83">
        <f t="shared" si="113"/>
        <v>3534186.2719488451</v>
      </c>
      <c r="AQ383" s="70">
        <f t="shared" si="114"/>
        <v>1509210.6320828593</v>
      </c>
      <c r="AR383" s="70">
        <f t="shared" si="115"/>
        <v>754605.31604142964</v>
      </c>
      <c r="AS383" s="70">
        <f t="shared" si="116"/>
        <v>754605.31604142964</v>
      </c>
    </row>
    <row r="384" spans="1:45">
      <c r="A384" s="104" t="s">
        <v>2960</v>
      </c>
      <c r="B384" s="124" t="s">
        <v>2960</v>
      </c>
      <c r="C384" s="31" t="s">
        <v>2540</v>
      </c>
      <c r="D384" s="125" t="s">
        <v>2540</v>
      </c>
      <c r="E384" s="119" t="s">
        <v>2541</v>
      </c>
      <c r="F384" s="100" t="s">
        <v>2279</v>
      </c>
      <c r="G384" s="100" t="s">
        <v>223</v>
      </c>
      <c r="H384" s="43" t="str">
        <f t="shared" si="99"/>
        <v>Urban Dallas</v>
      </c>
      <c r="I384" s="45">
        <f>INDEX('Fee Calc'!M:M,MATCH(C:C,'Fee Calc'!F:F,0))</f>
        <v>0</v>
      </c>
      <c r="J384" s="45">
        <f>INDEX('Fee Calc'!L:L,MATCH(C:C,'Fee Calc'!F:F,0))</f>
        <v>0</v>
      </c>
      <c r="K384" s="45">
        <f t="shared" si="100"/>
        <v>0</v>
      </c>
      <c r="L384" s="45">
        <v>0</v>
      </c>
      <c r="M384" s="45">
        <v>0</v>
      </c>
      <c r="N384" s="45">
        <f t="shared" si="101"/>
        <v>0</v>
      </c>
      <c r="O384" s="45">
        <v>0</v>
      </c>
      <c r="P384" s="45">
        <v>0</v>
      </c>
      <c r="Q384" s="45">
        <f t="shared" si="102"/>
        <v>0</v>
      </c>
      <c r="R384" s="45" t="str">
        <f t="shared" si="103"/>
        <v>No</v>
      </c>
      <c r="S384" s="46" t="str">
        <f t="shared" si="103"/>
        <v>No</v>
      </c>
      <c r="T384" s="47">
        <f>ROUND(INDEX(Summary!H:H,MATCH(H:H,Summary!A:A,0)),2)</f>
        <v>0.54</v>
      </c>
      <c r="U384" s="47">
        <f>ROUND(INDEX(Summary!I:I,MATCH(H:H,Summary!A:A,0)),2)</f>
        <v>0.27</v>
      </c>
      <c r="V384" s="81">
        <f t="shared" si="104"/>
        <v>0</v>
      </c>
      <c r="W384" s="81">
        <f t="shared" si="104"/>
        <v>0</v>
      </c>
      <c r="X384" s="45">
        <f t="shared" si="105"/>
        <v>0</v>
      </c>
      <c r="Y384" s="45" t="s">
        <v>2752</v>
      </c>
      <c r="Z384" s="45" t="str">
        <f t="shared" si="106"/>
        <v>No</v>
      </c>
      <c r="AA384" s="45" t="str">
        <f t="shared" si="106"/>
        <v>No</v>
      </c>
      <c r="AB384" s="45" t="str">
        <f t="shared" si="107"/>
        <v>No</v>
      </c>
      <c r="AC384" s="82">
        <f t="shared" si="108"/>
        <v>0</v>
      </c>
      <c r="AD384" s="82">
        <f t="shared" si="108"/>
        <v>0</v>
      </c>
      <c r="AE384" s="45">
        <f t="shared" si="109"/>
        <v>0</v>
      </c>
      <c r="AF384" s="45">
        <f t="shared" si="109"/>
        <v>0</v>
      </c>
      <c r="AG384" s="45">
        <f t="shared" si="110"/>
        <v>0</v>
      </c>
      <c r="AH384" s="47">
        <f>IFERROR(ROUNDDOWN(INDEX('90% of ACR'!K:K,MATCH(H:H,'90% of ACR'!A:A,0))*IF(I384&gt;0,IF(O384&gt;0,$R$4*MAX(O384-V384,0),0),0)/I384,2),0)</f>
        <v>0</v>
      </c>
      <c r="AI384" s="82">
        <f>IFERROR(ROUNDDOWN(INDEX('90% of ACR'!R:R,MATCH(H:H,'90% of ACR'!A:A,0))*IF(J384&gt;0,IF(P384&gt;0,$R$4*MAX(P384-W384,0),0),0)/J384,2),0)</f>
        <v>0</v>
      </c>
      <c r="AJ384" s="45">
        <f t="shared" si="111"/>
        <v>0</v>
      </c>
      <c r="AK384" s="45">
        <f t="shared" si="111"/>
        <v>0</v>
      </c>
      <c r="AL384" s="47">
        <f t="shared" si="112"/>
        <v>0.54</v>
      </c>
      <c r="AM384" s="47">
        <f t="shared" si="112"/>
        <v>0.27</v>
      </c>
      <c r="AN384" s="83">
        <f>IFERROR(INDEX('Fee Calc'!P:P,MATCH(C384,'Fee Calc'!F:F,0)),0)</f>
        <v>0</v>
      </c>
      <c r="AO384" s="83">
        <f>IFERROR(INDEX('Fee Calc'!Q:Q,MATCH(C384,'Fee Calc'!F:F,0)),0)</f>
        <v>0</v>
      </c>
      <c r="AP384" s="83">
        <f t="shared" si="113"/>
        <v>0</v>
      </c>
      <c r="AQ384" s="70">
        <f t="shared" si="114"/>
        <v>0</v>
      </c>
      <c r="AR384" s="70">
        <f t="shared" si="115"/>
        <v>0</v>
      </c>
      <c r="AS384" s="70">
        <f t="shared" si="116"/>
        <v>0</v>
      </c>
    </row>
    <row r="385" spans="1:45">
      <c r="A385" s="104" t="s">
        <v>2539</v>
      </c>
      <c r="B385" s="124" t="s">
        <v>2539</v>
      </c>
      <c r="C385" s="31" t="s">
        <v>2955</v>
      </c>
      <c r="D385" s="125" t="s">
        <v>2955</v>
      </c>
      <c r="E385" s="119" t="s">
        <v>2932</v>
      </c>
      <c r="F385" s="100" t="s">
        <v>2279</v>
      </c>
      <c r="G385" s="100" t="s">
        <v>1365</v>
      </c>
      <c r="H385" s="43" t="str">
        <f t="shared" si="99"/>
        <v>Urban Tarrant</v>
      </c>
      <c r="I385" s="45">
        <f>INDEX('Fee Calc'!M:M,MATCH(C:C,'Fee Calc'!F:F,0))</f>
        <v>0</v>
      </c>
      <c r="J385" s="45">
        <f>INDEX('Fee Calc'!L:L,MATCH(C:C,'Fee Calc'!F:F,0))</f>
        <v>0</v>
      </c>
      <c r="K385" s="45">
        <f t="shared" si="100"/>
        <v>0</v>
      </c>
      <c r="L385" s="45">
        <v>0</v>
      </c>
      <c r="M385" s="45">
        <v>0</v>
      </c>
      <c r="N385" s="45">
        <f t="shared" si="101"/>
        <v>0</v>
      </c>
      <c r="O385" s="45">
        <v>0</v>
      </c>
      <c r="P385" s="45">
        <v>0</v>
      </c>
      <c r="Q385" s="45">
        <f t="shared" si="102"/>
        <v>0</v>
      </c>
      <c r="R385" s="45" t="str">
        <f t="shared" si="103"/>
        <v>No</v>
      </c>
      <c r="S385" s="46" t="str">
        <f t="shared" si="103"/>
        <v>No</v>
      </c>
      <c r="T385" s="47">
        <f>ROUND(INDEX(Summary!H:H,MATCH(H:H,Summary!A:A,0)),2)</f>
        <v>0.74</v>
      </c>
      <c r="U385" s="47">
        <f>ROUND(INDEX(Summary!I:I,MATCH(H:H,Summary!A:A,0)),2)</f>
        <v>0.49</v>
      </c>
      <c r="V385" s="81">
        <f t="shared" si="104"/>
        <v>0</v>
      </c>
      <c r="W385" s="81">
        <f t="shared" si="104"/>
        <v>0</v>
      </c>
      <c r="X385" s="45">
        <f t="shared" si="105"/>
        <v>0</v>
      </c>
      <c r="Y385" s="45" t="s">
        <v>2752</v>
      </c>
      <c r="Z385" s="45" t="str">
        <f t="shared" si="106"/>
        <v>No</v>
      </c>
      <c r="AA385" s="45" t="str">
        <f t="shared" si="106"/>
        <v>No</v>
      </c>
      <c r="AB385" s="45" t="str">
        <f t="shared" si="107"/>
        <v>No</v>
      </c>
      <c r="AC385" s="82">
        <f t="shared" si="108"/>
        <v>0</v>
      </c>
      <c r="AD385" s="82">
        <f t="shared" si="108"/>
        <v>0</v>
      </c>
      <c r="AE385" s="45">
        <f t="shared" si="109"/>
        <v>0</v>
      </c>
      <c r="AF385" s="45">
        <f t="shared" si="109"/>
        <v>0</v>
      </c>
      <c r="AG385" s="45">
        <f t="shared" si="110"/>
        <v>0</v>
      </c>
      <c r="AH385" s="47">
        <f>IFERROR(ROUNDDOWN(INDEX('90% of ACR'!K:K,MATCH(H:H,'90% of ACR'!A:A,0))*IF(I385&gt;0,IF(O385&gt;0,$R$4*MAX(O385-V385,0),0),0)/I385,2),0)</f>
        <v>0</v>
      </c>
      <c r="AI385" s="82">
        <f>IFERROR(ROUNDDOWN(INDEX('90% of ACR'!R:R,MATCH(H:H,'90% of ACR'!A:A,0))*IF(J385&gt;0,IF(P385&gt;0,$R$4*MAX(P385-W385,0),0),0)/J385,2),0)</f>
        <v>0</v>
      </c>
      <c r="AJ385" s="45">
        <f t="shared" si="111"/>
        <v>0</v>
      </c>
      <c r="AK385" s="45">
        <f t="shared" si="111"/>
        <v>0</v>
      </c>
      <c r="AL385" s="47">
        <f t="shared" si="112"/>
        <v>0.74</v>
      </c>
      <c r="AM385" s="47">
        <f t="shared" si="112"/>
        <v>0.49</v>
      </c>
      <c r="AN385" s="83">
        <f>IFERROR(INDEX('Fee Calc'!P:P,MATCH(C385,'Fee Calc'!F:F,0)),0)</f>
        <v>0</v>
      </c>
      <c r="AO385" s="83">
        <f>IFERROR(INDEX('Fee Calc'!Q:Q,MATCH(C385,'Fee Calc'!F:F,0)),0)</f>
        <v>0</v>
      </c>
      <c r="AP385" s="83">
        <f t="shared" si="113"/>
        <v>0</v>
      </c>
      <c r="AQ385" s="70">
        <f t="shared" si="114"/>
        <v>0</v>
      </c>
      <c r="AR385" s="70">
        <f t="shared" si="115"/>
        <v>0</v>
      </c>
      <c r="AS385" s="70">
        <f t="shared" si="116"/>
        <v>0</v>
      </c>
    </row>
    <row r="386" spans="1:45">
      <c r="A386" s="104" t="s">
        <v>359</v>
      </c>
      <c r="B386" s="124" t="s">
        <v>359</v>
      </c>
      <c r="C386" s="31" t="s">
        <v>360</v>
      </c>
      <c r="D386" s="125" t="s">
        <v>360</v>
      </c>
      <c r="E386" s="119" t="s">
        <v>2688</v>
      </c>
      <c r="F386" s="100" t="s">
        <v>2291</v>
      </c>
      <c r="G386" s="100" t="s">
        <v>227</v>
      </c>
      <c r="H386" s="43" t="str">
        <f t="shared" si="99"/>
        <v>Rural MRSA West</v>
      </c>
      <c r="I386" s="45">
        <f>INDEX('Fee Calc'!M:M,MATCH(C:C,'Fee Calc'!F:F,0))</f>
        <v>1376714.5803017747</v>
      </c>
      <c r="J386" s="45">
        <f>INDEX('Fee Calc'!L:L,MATCH(C:C,'Fee Calc'!F:F,0))</f>
        <v>591830.3883102953</v>
      </c>
      <c r="K386" s="45">
        <f t="shared" si="100"/>
        <v>1968544.96861207</v>
      </c>
      <c r="L386" s="45">
        <v>347030.31</v>
      </c>
      <c r="M386" s="45">
        <v>11322.26</v>
      </c>
      <c r="N386" s="45">
        <f t="shared" si="101"/>
        <v>358352.57</v>
      </c>
      <c r="O386" s="45">
        <v>-297622.07181151514</v>
      </c>
      <c r="P386" s="45">
        <v>52026.615754496219</v>
      </c>
      <c r="Q386" s="45">
        <f t="shared" si="102"/>
        <v>-245595.45605701892</v>
      </c>
      <c r="R386" s="45" t="str">
        <f t="shared" si="103"/>
        <v>No</v>
      </c>
      <c r="S386" s="46" t="str">
        <f t="shared" si="103"/>
        <v>Yes</v>
      </c>
      <c r="T386" s="47">
        <f>ROUND(INDEX(Summary!H:H,MATCH(H:H,Summary!A:A,0)),2)</f>
        <v>0</v>
      </c>
      <c r="U386" s="47">
        <f>ROUND(INDEX(Summary!I:I,MATCH(H:H,Summary!A:A,0)),2)</f>
        <v>0.2</v>
      </c>
      <c r="V386" s="81">
        <f t="shared" si="104"/>
        <v>0</v>
      </c>
      <c r="W386" s="81">
        <f t="shared" si="104"/>
        <v>118366.07766205906</v>
      </c>
      <c r="X386" s="45">
        <f t="shared" si="105"/>
        <v>118366.07766205906</v>
      </c>
      <c r="Y386" s="45" t="s">
        <v>2752</v>
      </c>
      <c r="Z386" s="45" t="str">
        <f t="shared" si="106"/>
        <v>No</v>
      </c>
      <c r="AA386" s="45" t="str">
        <f t="shared" si="106"/>
        <v>No</v>
      </c>
      <c r="AB386" s="45" t="str">
        <f t="shared" si="107"/>
        <v>No</v>
      </c>
      <c r="AC386" s="82">
        <f t="shared" si="108"/>
        <v>0</v>
      </c>
      <c r="AD386" s="82">
        <f t="shared" si="108"/>
        <v>0</v>
      </c>
      <c r="AE386" s="45">
        <f t="shared" si="109"/>
        <v>0</v>
      </c>
      <c r="AF386" s="45">
        <f t="shared" si="109"/>
        <v>0</v>
      </c>
      <c r="AG386" s="45">
        <f t="shared" si="110"/>
        <v>0</v>
      </c>
      <c r="AH386" s="47">
        <f>IFERROR(ROUNDDOWN(INDEX('90% of ACR'!K:K,MATCH(H:H,'90% of ACR'!A:A,0))*IF(I386&gt;0,IF(O386&gt;0,$R$4*MAX(O386-V386,0),0),0)/I386,2),0)</f>
        <v>0</v>
      </c>
      <c r="AI386" s="82">
        <f>IFERROR(ROUNDDOWN(INDEX('90% of ACR'!R:R,MATCH(H:H,'90% of ACR'!A:A,0))*IF(J386&gt;0,IF(P386&gt;0,$R$4*MAX(P386-W386,0),0),0)/J386,2),0)</f>
        <v>0</v>
      </c>
      <c r="AJ386" s="45">
        <f t="shared" si="111"/>
        <v>0</v>
      </c>
      <c r="AK386" s="45">
        <f t="shared" si="111"/>
        <v>0</v>
      </c>
      <c r="AL386" s="47">
        <f t="shared" si="112"/>
        <v>0</v>
      </c>
      <c r="AM386" s="47">
        <f t="shared" si="112"/>
        <v>0.2</v>
      </c>
      <c r="AN386" s="83">
        <f>IFERROR(INDEX('Fee Calc'!P:P,MATCH(C386,'Fee Calc'!F:F,0)),0)</f>
        <v>118366.07766205906</v>
      </c>
      <c r="AO386" s="83">
        <f>IFERROR(INDEX('Fee Calc'!Q:Q,MATCH(C386,'Fee Calc'!F:F,0)),0)</f>
        <v>7245.4952487700375</v>
      </c>
      <c r="AP386" s="83">
        <f t="shared" si="113"/>
        <v>125611.5729108291</v>
      </c>
      <c r="AQ386" s="70">
        <f t="shared" si="114"/>
        <v>53640.161203257172</v>
      </c>
      <c r="AR386" s="70">
        <f t="shared" si="115"/>
        <v>26820.080601628586</v>
      </c>
      <c r="AS386" s="70">
        <f t="shared" si="116"/>
        <v>26820.080601628586</v>
      </c>
    </row>
    <row r="387" spans="1:45">
      <c r="A387" s="104" t="s">
        <v>911</v>
      </c>
      <c r="B387" s="124" t="s">
        <v>911</v>
      </c>
      <c r="C387" s="31" t="s">
        <v>912</v>
      </c>
      <c r="D387" s="125" t="s">
        <v>912</v>
      </c>
      <c r="E387" s="119" t="s">
        <v>2443</v>
      </c>
      <c r="F387" s="100" t="s">
        <v>2291</v>
      </c>
      <c r="G387" s="100" t="s">
        <v>223</v>
      </c>
      <c r="H387" s="43" t="str">
        <f t="shared" si="99"/>
        <v>Rural Dallas</v>
      </c>
      <c r="I387" s="45">
        <f>INDEX('Fee Calc'!M:M,MATCH(C:C,'Fee Calc'!F:F,0))</f>
        <v>3838655.030467134</v>
      </c>
      <c r="J387" s="45">
        <f>INDEX('Fee Calc'!L:L,MATCH(C:C,'Fee Calc'!F:F,0))</f>
        <v>2786024.6654741522</v>
      </c>
      <c r="K387" s="45">
        <f t="shared" si="100"/>
        <v>6624679.6959412862</v>
      </c>
      <c r="L387" s="45">
        <v>601030.64</v>
      </c>
      <c r="M387" s="45">
        <v>1230505.1399999999</v>
      </c>
      <c r="N387" s="45">
        <f t="shared" si="101"/>
        <v>1831535.7799999998</v>
      </c>
      <c r="O387" s="45">
        <v>5946203.8490227424</v>
      </c>
      <c r="P387" s="45">
        <v>3596204.7070513051</v>
      </c>
      <c r="Q387" s="45">
        <f t="shared" si="102"/>
        <v>9542408.5560740475</v>
      </c>
      <c r="R387" s="45" t="str">
        <f t="shared" si="103"/>
        <v>Yes</v>
      </c>
      <c r="S387" s="46" t="str">
        <f t="shared" si="103"/>
        <v>Yes</v>
      </c>
      <c r="T387" s="47">
        <f>ROUND(INDEX(Summary!H:H,MATCH(H:H,Summary!A:A,0)),2)</f>
        <v>0.16</v>
      </c>
      <c r="U387" s="47">
        <f>ROUND(INDEX(Summary!I:I,MATCH(H:H,Summary!A:A,0)),2)</f>
        <v>0.44</v>
      </c>
      <c r="V387" s="81">
        <f t="shared" si="104"/>
        <v>614184.80487474147</v>
      </c>
      <c r="W387" s="81">
        <f t="shared" si="104"/>
        <v>1225850.8528086271</v>
      </c>
      <c r="X387" s="45">
        <f t="shared" si="105"/>
        <v>1840035.6576833685</v>
      </c>
      <c r="Y387" s="45" t="s">
        <v>2752</v>
      </c>
      <c r="Z387" s="45" t="str">
        <f t="shared" si="106"/>
        <v>Yes</v>
      </c>
      <c r="AA387" s="45" t="str">
        <f t="shared" si="106"/>
        <v>Yes</v>
      </c>
      <c r="AB387" s="45" t="str">
        <f t="shared" si="107"/>
        <v>Yes</v>
      </c>
      <c r="AC387" s="82">
        <f t="shared" si="108"/>
        <v>0.97</v>
      </c>
      <c r="AD387" s="82">
        <f t="shared" si="108"/>
        <v>0.59</v>
      </c>
      <c r="AE387" s="45">
        <f t="shared" si="109"/>
        <v>3723495.3795531197</v>
      </c>
      <c r="AF387" s="45">
        <f t="shared" si="109"/>
        <v>1643754.5526297498</v>
      </c>
      <c r="AG387" s="45">
        <f t="shared" si="110"/>
        <v>5367249.9321828689</v>
      </c>
      <c r="AH387" s="47">
        <f>IFERROR(ROUNDDOWN(INDEX('90% of ACR'!K:K,MATCH(H:H,'90% of ACR'!A:A,0))*IF(I387&gt;0,IF(O387&gt;0,$R$4*MAX(O387-V387,0),0),0)/I387,2),0)</f>
        <v>0.96</v>
      </c>
      <c r="AI387" s="82">
        <f>IFERROR(ROUNDDOWN(INDEX('90% of ACR'!R:R,MATCH(H:H,'90% of ACR'!A:A,0))*IF(J387&gt;0,IF(P387&gt;0,$R$4*MAX(P387-W387,0),0),0)/J387,2),0)</f>
        <v>0.59</v>
      </c>
      <c r="AJ387" s="45">
        <f t="shared" si="111"/>
        <v>3685108.8292484484</v>
      </c>
      <c r="AK387" s="45">
        <f t="shared" si="111"/>
        <v>1643754.5526297498</v>
      </c>
      <c r="AL387" s="47">
        <f t="shared" si="112"/>
        <v>1.1199999999999999</v>
      </c>
      <c r="AM387" s="47">
        <f t="shared" si="112"/>
        <v>1.03</v>
      </c>
      <c r="AN387" s="83">
        <f>IFERROR(INDEX('Fee Calc'!P:P,MATCH(C387,'Fee Calc'!F:F,0)),0)</f>
        <v>7168899.039561566</v>
      </c>
      <c r="AO387" s="83">
        <f>IFERROR(INDEX('Fee Calc'!Q:Q,MATCH(C387,'Fee Calc'!F:F,0)),0)</f>
        <v>442363.70446973713</v>
      </c>
      <c r="AP387" s="83">
        <f t="shared" si="113"/>
        <v>7611262.7440313026</v>
      </c>
      <c r="AQ387" s="70">
        <f t="shared" si="114"/>
        <v>3250252.7521091755</v>
      </c>
      <c r="AR387" s="70">
        <f t="shared" si="115"/>
        <v>1625126.3760545878</v>
      </c>
      <c r="AS387" s="70">
        <f t="shared" si="116"/>
        <v>1625126.3760545878</v>
      </c>
    </row>
    <row r="388" spans="1:45">
      <c r="A388" s="104" t="s">
        <v>16</v>
      </c>
      <c r="B388" s="124" t="s">
        <v>16</v>
      </c>
      <c r="C388" s="31" t="s">
        <v>17</v>
      </c>
      <c r="D388" s="125" t="s">
        <v>17</v>
      </c>
      <c r="E388" s="119" t="s">
        <v>2933</v>
      </c>
      <c r="F388" s="100" t="s">
        <v>2279</v>
      </c>
      <c r="G388" s="100" t="s">
        <v>310</v>
      </c>
      <c r="H388" s="43" t="str">
        <f t="shared" si="99"/>
        <v>Urban MRSA Northeast</v>
      </c>
      <c r="I388" s="45">
        <f>INDEX('Fee Calc'!M:M,MATCH(C:C,'Fee Calc'!F:F,0))</f>
        <v>5455534.3949341979</v>
      </c>
      <c r="J388" s="45">
        <f>INDEX('Fee Calc'!L:L,MATCH(C:C,'Fee Calc'!F:F,0))</f>
        <v>3582274.647754496</v>
      </c>
      <c r="K388" s="45">
        <f t="shared" si="100"/>
        <v>9037809.0426886939</v>
      </c>
      <c r="L388" s="45">
        <v>1740053.81</v>
      </c>
      <c r="M388" s="45">
        <v>2171987.9500000002</v>
      </c>
      <c r="N388" s="45">
        <f t="shared" si="101"/>
        <v>3912041.7600000002</v>
      </c>
      <c r="O388" s="45">
        <v>4213954.5803609826</v>
      </c>
      <c r="P388" s="45">
        <v>5275710.980001661</v>
      </c>
      <c r="Q388" s="45">
        <f t="shared" si="102"/>
        <v>9489665.5603626445</v>
      </c>
      <c r="R388" s="45" t="str">
        <f t="shared" si="103"/>
        <v>Yes</v>
      </c>
      <c r="S388" s="46" t="str">
        <f t="shared" si="103"/>
        <v>Yes</v>
      </c>
      <c r="T388" s="47">
        <f>ROUND(INDEX(Summary!H:H,MATCH(H:H,Summary!A:A,0)),2)</f>
        <v>0.6</v>
      </c>
      <c r="U388" s="47">
        <f>ROUND(INDEX(Summary!I:I,MATCH(H:H,Summary!A:A,0)),2)</f>
        <v>0.99</v>
      </c>
      <c r="V388" s="81">
        <f t="shared" si="104"/>
        <v>3273320.6369605185</v>
      </c>
      <c r="W388" s="81">
        <f t="shared" si="104"/>
        <v>3546451.9012769512</v>
      </c>
      <c r="X388" s="45">
        <f t="shared" si="105"/>
        <v>6819772.5382374693</v>
      </c>
      <c r="Y388" s="45" t="s">
        <v>2752</v>
      </c>
      <c r="Z388" s="45" t="str">
        <f t="shared" si="106"/>
        <v>Yes</v>
      </c>
      <c r="AA388" s="45" t="str">
        <f t="shared" si="106"/>
        <v>Yes</v>
      </c>
      <c r="AB388" s="45" t="str">
        <f t="shared" si="107"/>
        <v>Yes</v>
      </c>
      <c r="AC388" s="82">
        <f t="shared" si="108"/>
        <v>0.12</v>
      </c>
      <c r="AD388" s="82">
        <f t="shared" si="108"/>
        <v>0.34</v>
      </c>
      <c r="AE388" s="45">
        <f t="shared" si="109"/>
        <v>654664.12739210378</v>
      </c>
      <c r="AF388" s="45">
        <f t="shared" si="109"/>
        <v>1217973.3802365288</v>
      </c>
      <c r="AG388" s="45">
        <f t="shared" si="110"/>
        <v>1872637.5076286327</v>
      </c>
      <c r="AH388" s="47">
        <f>IFERROR(ROUNDDOWN(INDEX('90% of ACR'!K:K,MATCH(H:H,'90% of ACR'!A:A,0))*IF(I388&gt;0,IF(O388&gt;0,$R$4*MAX(O388-V388,0),0),0)/I388,2),0)</f>
        <v>0.12</v>
      </c>
      <c r="AI388" s="82">
        <f>IFERROR(ROUNDDOWN(INDEX('90% of ACR'!R:R,MATCH(H:H,'90% of ACR'!A:A,0))*IF(J388&gt;0,IF(P388&gt;0,$R$4*MAX(P388-W388,0),0),0)/J388,2),0)</f>
        <v>0.33</v>
      </c>
      <c r="AJ388" s="45">
        <f t="shared" si="111"/>
        <v>654664.12739210378</v>
      </c>
      <c r="AK388" s="45">
        <f t="shared" si="111"/>
        <v>1182150.6337589838</v>
      </c>
      <c r="AL388" s="47">
        <f t="shared" si="112"/>
        <v>0.72</v>
      </c>
      <c r="AM388" s="47">
        <f t="shared" si="112"/>
        <v>1.32</v>
      </c>
      <c r="AN388" s="83">
        <f>IFERROR(INDEX('Fee Calc'!P:P,MATCH(C388,'Fee Calc'!F:F,0)),0)</f>
        <v>8656587.2993885577</v>
      </c>
      <c r="AO388" s="83">
        <f>IFERROR(INDEX('Fee Calc'!Q:Q,MATCH(C388,'Fee Calc'!F:F,0)),0)</f>
        <v>535528.17610571906</v>
      </c>
      <c r="AP388" s="83">
        <f t="shared" si="113"/>
        <v>9192115.4754942767</v>
      </c>
      <c r="AQ388" s="70">
        <f t="shared" si="114"/>
        <v>3925327.4557312718</v>
      </c>
      <c r="AR388" s="70">
        <f t="shared" si="115"/>
        <v>1962663.7278656359</v>
      </c>
      <c r="AS388" s="70">
        <f t="shared" si="116"/>
        <v>1962663.7278656359</v>
      </c>
    </row>
    <row r="389" spans="1:45">
      <c r="A389" s="104" t="s">
        <v>49</v>
      </c>
      <c r="B389" s="124" t="s">
        <v>49</v>
      </c>
      <c r="C389" s="31" t="s">
        <v>50</v>
      </c>
      <c r="D389" s="125" t="s">
        <v>50</v>
      </c>
      <c r="E389" s="119" t="s">
        <v>2934</v>
      </c>
      <c r="F389" s="100" t="s">
        <v>2291</v>
      </c>
      <c r="G389" s="100" t="s">
        <v>310</v>
      </c>
      <c r="H389" s="43" t="str">
        <f t="shared" ref="H389:H412" si="117">CONCATENATE(F389," ",G389)</f>
        <v>Rural MRSA Northeast</v>
      </c>
      <c r="I389" s="45">
        <f>INDEX('Fee Calc'!M:M,MATCH(C:C,'Fee Calc'!F:F,0))</f>
        <v>868916.24232780968</v>
      </c>
      <c r="J389" s="45">
        <f>INDEX('Fee Calc'!L:L,MATCH(C:C,'Fee Calc'!F:F,0))</f>
        <v>1003498.9645349914</v>
      </c>
      <c r="K389" s="45">
        <f t="shared" ref="K389:K412" si="118">I389+J389</f>
        <v>1872415.2068628012</v>
      </c>
      <c r="L389" s="45">
        <v>-74118.240000000005</v>
      </c>
      <c r="M389" s="45">
        <v>255693.4</v>
      </c>
      <c r="N389" s="45">
        <f t="shared" ref="N389:N412" si="119">+L389+M389</f>
        <v>181575.15999999997</v>
      </c>
      <c r="O389" s="45">
        <v>65011.194936481013</v>
      </c>
      <c r="P389" s="45">
        <v>934230.35432432254</v>
      </c>
      <c r="Q389" s="45">
        <f t="shared" ref="Q389:Q412" si="120">O389+P389</f>
        <v>999241.5492608035</v>
      </c>
      <c r="R389" s="45" t="str">
        <f t="shared" ref="R389:S412" si="121">IF(O389&gt;0,"Yes","No")</f>
        <v>Yes</v>
      </c>
      <c r="S389" s="46" t="str">
        <f t="shared" si="121"/>
        <v>Yes</v>
      </c>
      <c r="T389" s="47">
        <f>ROUND(INDEX(Summary!H:H,MATCH(H:H,Summary!A:A,0)),2)</f>
        <v>0</v>
      </c>
      <c r="U389" s="47">
        <f>ROUND(INDEX(Summary!I:I,MATCH(H:H,Summary!A:A,0)),2)</f>
        <v>0.3</v>
      </c>
      <c r="V389" s="81">
        <f t="shared" ref="V389:W412" si="122">+T389*I389</f>
        <v>0</v>
      </c>
      <c r="W389" s="81">
        <f t="shared" si="122"/>
        <v>301049.6893604974</v>
      </c>
      <c r="X389" s="45">
        <f t="shared" ref="X389:X412" si="123">+V389+W389</f>
        <v>301049.6893604974</v>
      </c>
      <c r="Y389" s="45" t="s">
        <v>2752</v>
      </c>
      <c r="Z389" s="45" t="str">
        <f t="shared" ref="Z389:AA412" si="124">IF(AJ389&gt;0,"Yes","No")</f>
        <v>Yes</v>
      </c>
      <c r="AA389" s="45" t="str">
        <f t="shared" si="124"/>
        <v>Yes</v>
      </c>
      <c r="AB389" s="45" t="str">
        <f t="shared" ref="AB389:AB412" si="125">IF(AG389&gt;0,"Yes","No")</f>
        <v>Yes</v>
      </c>
      <c r="AC389" s="82">
        <f t="shared" ref="AC389:AD412" si="126">IFERROR(ROUND(IF(I389&gt;0,IF(O389&gt;0,$R$4*MAX(O389-V389,0),0),0)/I389,2),0)</f>
        <v>0.05</v>
      </c>
      <c r="AD389" s="82">
        <f t="shared" si="126"/>
        <v>0.44</v>
      </c>
      <c r="AE389" s="45">
        <f t="shared" ref="AE389:AF412" si="127">AC389*I389</f>
        <v>43445.812116390487</v>
      </c>
      <c r="AF389" s="45">
        <f t="shared" si="127"/>
        <v>441539.54439539625</v>
      </c>
      <c r="AG389" s="45">
        <f t="shared" ref="AG389:AG412" si="128">AE389+AF389</f>
        <v>484985.35651178675</v>
      </c>
      <c r="AH389" s="47">
        <f>IFERROR(ROUNDDOWN(INDEX('90% of ACR'!K:K,MATCH(H:H,'90% of ACR'!A:A,0))*IF(I389&gt;0,IF(O389&gt;0,$R$4*MAX(O389-V389,0),0),0)/I389,2),0)</f>
        <v>0.03</v>
      </c>
      <c r="AI389" s="82">
        <f>IFERROR(ROUNDDOWN(INDEX('90% of ACR'!R:R,MATCH(H:H,'90% of ACR'!A:A,0))*IF(J389&gt;0,IF(P389&gt;0,$R$4*MAX(P389-W389,0),0),0)/J389,2),0)</f>
        <v>0.43</v>
      </c>
      <c r="AJ389" s="45">
        <f t="shared" ref="AJ389:AK412" si="129">I389*AH389</f>
        <v>26067.487269834288</v>
      </c>
      <c r="AK389" s="45">
        <f t="shared" si="129"/>
        <v>431504.55475004629</v>
      </c>
      <c r="AL389" s="47">
        <f t="shared" ref="AL389:AM412" si="130">T389+AH389</f>
        <v>0.03</v>
      </c>
      <c r="AM389" s="47">
        <f t="shared" si="130"/>
        <v>0.73</v>
      </c>
      <c r="AN389" s="83">
        <f>IFERROR(INDEX('Fee Calc'!P:P,MATCH(C389,'Fee Calc'!F:F,0)),0)</f>
        <v>758621.73138037801</v>
      </c>
      <c r="AO389" s="83">
        <f>IFERROR(INDEX('Fee Calc'!Q:Q,MATCH(C389,'Fee Calc'!F:F,0)),0)</f>
        <v>47067.22592496562</v>
      </c>
      <c r="AP389" s="83">
        <f t="shared" ref="AP389:AP412" si="131">AN389+AO389</f>
        <v>805688.95730534359</v>
      </c>
      <c r="AQ389" s="70">
        <f t="shared" ref="AQ389:AQ412" si="132">$AQ$3*AP389*1.08</f>
        <v>344054.96681601548</v>
      </c>
      <c r="AR389" s="70">
        <f t="shared" ref="AR389:AR412" si="133">AQ389*0.5</f>
        <v>172027.48340800774</v>
      </c>
      <c r="AS389" s="70">
        <f t="shared" ref="AS389:AS412" si="134">AR389</f>
        <v>172027.48340800774</v>
      </c>
    </row>
    <row r="390" spans="1:45">
      <c r="A390" s="104" t="s">
        <v>174</v>
      </c>
      <c r="B390" s="124" t="s">
        <v>174</v>
      </c>
      <c r="C390" s="31" t="s">
        <v>175</v>
      </c>
      <c r="D390" s="125" t="s">
        <v>175</v>
      </c>
      <c r="E390" s="119" t="s">
        <v>2935</v>
      </c>
      <c r="F390" s="100" t="s">
        <v>2291</v>
      </c>
      <c r="G390" s="100" t="s">
        <v>310</v>
      </c>
      <c r="H390" s="43" t="str">
        <f t="shared" si="117"/>
        <v>Rural MRSA Northeast</v>
      </c>
      <c r="I390" s="45">
        <f>INDEX('Fee Calc'!M:M,MATCH(C:C,'Fee Calc'!F:F,0))</f>
        <v>5946763.3649816299</v>
      </c>
      <c r="J390" s="45">
        <f>INDEX('Fee Calc'!L:L,MATCH(C:C,'Fee Calc'!F:F,0))</f>
        <v>3451803.762682037</v>
      </c>
      <c r="K390" s="45">
        <f t="shared" si="118"/>
        <v>9398567.1276636664</v>
      </c>
      <c r="L390" s="45">
        <v>-149124.88</v>
      </c>
      <c r="M390" s="45">
        <v>280287.95</v>
      </c>
      <c r="N390" s="45">
        <f t="shared" si="119"/>
        <v>131163.07</v>
      </c>
      <c r="O390" s="45">
        <v>-161929.65181166772</v>
      </c>
      <c r="P390" s="45">
        <v>1252492.5770327933</v>
      </c>
      <c r="Q390" s="45">
        <f t="shared" si="120"/>
        <v>1090562.9252211256</v>
      </c>
      <c r="R390" s="45" t="str">
        <f t="shared" si="121"/>
        <v>No</v>
      </c>
      <c r="S390" s="46" t="str">
        <f t="shared" si="121"/>
        <v>Yes</v>
      </c>
      <c r="T390" s="47">
        <f>ROUND(INDEX(Summary!H:H,MATCH(H:H,Summary!A:A,0)),2)</f>
        <v>0</v>
      </c>
      <c r="U390" s="47">
        <f>ROUND(INDEX(Summary!I:I,MATCH(H:H,Summary!A:A,0)),2)</f>
        <v>0.3</v>
      </c>
      <c r="V390" s="81">
        <f t="shared" si="122"/>
        <v>0</v>
      </c>
      <c r="W390" s="81">
        <f t="shared" si="122"/>
        <v>1035541.128804611</v>
      </c>
      <c r="X390" s="45">
        <f t="shared" si="123"/>
        <v>1035541.128804611</v>
      </c>
      <c r="Y390" s="45" t="s">
        <v>2752</v>
      </c>
      <c r="Z390" s="45" t="str">
        <f t="shared" si="124"/>
        <v>No</v>
      </c>
      <c r="AA390" s="45" t="str">
        <f t="shared" si="124"/>
        <v>Yes</v>
      </c>
      <c r="AB390" s="45" t="str">
        <f t="shared" si="125"/>
        <v>Yes</v>
      </c>
      <c r="AC390" s="82">
        <f t="shared" si="126"/>
        <v>0</v>
      </c>
      <c r="AD390" s="82">
        <f t="shared" si="126"/>
        <v>0.04</v>
      </c>
      <c r="AE390" s="45">
        <f t="shared" si="127"/>
        <v>0</v>
      </c>
      <c r="AF390" s="45">
        <f t="shared" si="127"/>
        <v>138072.15050728148</v>
      </c>
      <c r="AG390" s="45">
        <f t="shared" si="128"/>
        <v>138072.15050728148</v>
      </c>
      <c r="AH390" s="47">
        <f>IFERROR(ROUNDDOWN(INDEX('90% of ACR'!K:K,MATCH(H:H,'90% of ACR'!A:A,0))*IF(I390&gt;0,IF(O390&gt;0,$R$4*MAX(O390-V390,0),0),0)/I390,2),0)</f>
        <v>0</v>
      </c>
      <c r="AI390" s="82">
        <f>IFERROR(ROUNDDOWN(INDEX('90% of ACR'!R:R,MATCH(H:H,'90% of ACR'!A:A,0))*IF(J390&gt;0,IF(P390&gt;0,$R$4*MAX(P390-W390,0),0),0)/J390,2),0)</f>
        <v>0.04</v>
      </c>
      <c r="AJ390" s="45">
        <f t="shared" si="129"/>
        <v>0</v>
      </c>
      <c r="AK390" s="45">
        <f t="shared" si="129"/>
        <v>138072.15050728148</v>
      </c>
      <c r="AL390" s="47">
        <f t="shared" si="130"/>
        <v>0</v>
      </c>
      <c r="AM390" s="47">
        <f t="shared" si="130"/>
        <v>0.33999999999999997</v>
      </c>
      <c r="AN390" s="83">
        <f>IFERROR(INDEX('Fee Calc'!P:P,MATCH(C390,'Fee Calc'!F:F,0)),0)</f>
        <v>1173613.2793118923</v>
      </c>
      <c r="AO390" s="83">
        <f>IFERROR(INDEX('Fee Calc'!Q:Q,MATCH(C390,'Fee Calc'!F:F,0)),0)</f>
        <v>72216.23828375942</v>
      </c>
      <c r="AP390" s="83">
        <f t="shared" si="131"/>
        <v>1245829.5175956518</v>
      </c>
      <c r="AQ390" s="70">
        <f t="shared" si="132"/>
        <v>532009.07055790641</v>
      </c>
      <c r="AR390" s="70">
        <f t="shared" si="133"/>
        <v>266004.5352789532</v>
      </c>
      <c r="AS390" s="70">
        <f t="shared" si="134"/>
        <v>266004.5352789532</v>
      </c>
    </row>
    <row r="391" spans="1:45">
      <c r="A391" s="104" t="s">
        <v>192</v>
      </c>
      <c r="B391" s="124" t="s">
        <v>192</v>
      </c>
      <c r="C391" s="31" t="s">
        <v>193</v>
      </c>
      <c r="D391" s="125" t="s">
        <v>193</v>
      </c>
      <c r="E391" s="119" t="s">
        <v>2936</v>
      </c>
      <c r="F391" s="100" t="s">
        <v>2291</v>
      </c>
      <c r="G391" s="100" t="s">
        <v>310</v>
      </c>
      <c r="H391" s="43" t="str">
        <f t="shared" si="117"/>
        <v>Rural MRSA Northeast</v>
      </c>
      <c r="I391" s="45">
        <f>INDEX('Fee Calc'!M:M,MATCH(C:C,'Fee Calc'!F:F,0))</f>
        <v>6732708.2851474443</v>
      </c>
      <c r="J391" s="45">
        <f>INDEX('Fee Calc'!L:L,MATCH(C:C,'Fee Calc'!F:F,0))</f>
        <v>3309155.6661977926</v>
      </c>
      <c r="K391" s="45">
        <f t="shared" si="118"/>
        <v>10041863.951345237</v>
      </c>
      <c r="L391" s="45">
        <v>-724423.21</v>
      </c>
      <c r="M391" s="45">
        <v>351413.46</v>
      </c>
      <c r="N391" s="45">
        <f t="shared" si="119"/>
        <v>-373009.74999999994</v>
      </c>
      <c r="O391" s="45">
        <v>-200105.65726694139</v>
      </c>
      <c r="P391" s="45">
        <v>1237086.9913985222</v>
      </c>
      <c r="Q391" s="45">
        <f t="shared" si="120"/>
        <v>1036981.3341315808</v>
      </c>
      <c r="R391" s="45" t="str">
        <f t="shared" si="121"/>
        <v>No</v>
      </c>
      <c r="S391" s="46" t="str">
        <f t="shared" si="121"/>
        <v>Yes</v>
      </c>
      <c r="T391" s="47">
        <f>ROUND(INDEX(Summary!H:H,MATCH(H:H,Summary!A:A,0)),2)</f>
        <v>0</v>
      </c>
      <c r="U391" s="47">
        <f>ROUND(INDEX(Summary!I:I,MATCH(H:H,Summary!A:A,0)),2)</f>
        <v>0.3</v>
      </c>
      <c r="V391" s="81">
        <f t="shared" si="122"/>
        <v>0</v>
      </c>
      <c r="W391" s="81">
        <f t="shared" si="122"/>
        <v>992746.69985933776</v>
      </c>
      <c r="X391" s="45">
        <f t="shared" si="123"/>
        <v>992746.69985933776</v>
      </c>
      <c r="Y391" s="45" t="s">
        <v>2752</v>
      </c>
      <c r="Z391" s="45" t="str">
        <f t="shared" si="124"/>
        <v>No</v>
      </c>
      <c r="AA391" s="45" t="str">
        <f t="shared" si="124"/>
        <v>Yes</v>
      </c>
      <c r="AB391" s="45" t="str">
        <f t="shared" si="125"/>
        <v>Yes</v>
      </c>
      <c r="AC391" s="82">
        <f t="shared" si="126"/>
        <v>0</v>
      </c>
      <c r="AD391" s="82">
        <f t="shared" si="126"/>
        <v>0.05</v>
      </c>
      <c r="AE391" s="45">
        <f t="shared" si="127"/>
        <v>0</v>
      </c>
      <c r="AF391" s="45">
        <f t="shared" si="127"/>
        <v>165457.78330988964</v>
      </c>
      <c r="AG391" s="45">
        <f t="shared" si="128"/>
        <v>165457.78330988964</v>
      </c>
      <c r="AH391" s="47">
        <f>IFERROR(ROUNDDOWN(INDEX('90% of ACR'!K:K,MATCH(H:H,'90% of ACR'!A:A,0))*IF(I391&gt;0,IF(O391&gt;0,$R$4*MAX(O391-V391,0),0),0)/I391,2),0)</f>
        <v>0</v>
      </c>
      <c r="AI391" s="82">
        <f>IFERROR(ROUNDDOWN(INDEX('90% of ACR'!R:R,MATCH(H:H,'90% of ACR'!A:A,0))*IF(J391&gt;0,IF(P391&gt;0,$R$4*MAX(P391-W391,0),0),0)/J391,2),0)</f>
        <v>0.05</v>
      </c>
      <c r="AJ391" s="45">
        <f t="shared" si="129"/>
        <v>0</v>
      </c>
      <c r="AK391" s="45">
        <f t="shared" si="129"/>
        <v>165457.78330988964</v>
      </c>
      <c r="AL391" s="47">
        <f t="shared" si="130"/>
        <v>0</v>
      </c>
      <c r="AM391" s="47">
        <f t="shared" si="130"/>
        <v>0.35</v>
      </c>
      <c r="AN391" s="83">
        <f>IFERROR(INDEX('Fee Calc'!P:P,MATCH(C391,'Fee Calc'!F:F,0)),0)</f>
        <v>1158204.4831692274</v>
      </c>
      <c r="AO391" s="83">
        <f>IFERROR(INDEX('Fee Calc'!Q:Q,MATCH(C391,'Fee Calc'!F:F,0)),0)</f>
        <v>71138.669287276978</v>
      </c>
      <c r="AP391" s="83">
        <f t="shared" si="131"/>
        <v>1229343.1524565043</v>
      </c>
      <c r="AQ391" s="70">
        <f t="shared" si="132"/>
        <v>524968.86507980595</v>
      </c>
      <c r="AR391" s="70">
        <f t="shared" si="133"/>
        <v>262484.43253990298</v>
      </c>
      <c r="AS391" s="70">
        <f t="shared" si="134"/>
        <v>262484.43253990298</v>
      </c>
    </row>
    <row r="392" spans="1:45">
      <c r="A392" s="104" t="s">
        <v>320</v>
      </c>
      <c r="B392" s="124" t="s">
        <v>320</v>
      </c>
      <c r="C392" s="31" t="s">
        <v>321</v>
      </c>
      <c r="D392" s="125" t="s">
        <v>321</v>
      </c>
      <c r="E392" s="119" t="s">
        <v>2937</v>
      </c>
      <c r="F392" s="100" t="s">
        <v>2291</v>
      </c>
      <c r="G392" s="100" t="s">
        <v>310</v>
      </c>
      <c r="H392" s="43" t="str">
        <f t="shared" si="117"/>
        <v>Rural MRSA Northeast</v>
      </c>
      <c r="I392" s="45">
        <f>INDEX('Fee Calc'!M:M,MATCH(C:C,'Fee Calc'!F:F,0))</f>
        <v>550893.5004271213</v>
      </c>
      <c r="J392" s="45">
        <f>INDEX('Fee Calc'!L:L,MATCH(C:C,'Fee Calc'!F:F,0))</f>
        <v>1745160.726760237</v>
      </c>
      <c r="K392" s="45">
        <f t="shared" si="118"/>
        <v>2296054.2271873583</v>
      </c>
      <c r="L392" s="45">
        <v>44724.04</v>
      </c>
      <c r="M392" s="45">
        <v>-257642.69</v>
      </c>
      <c r="N392" s="45">
        <f t="shared" si="119"/>
        <v>-212918.65</v>
      </c>
      <c r="O392" s="45">
        <v>-4924.777457364602</v>
      </c>
      <c r="P392" s="45">
        <v>828023.65857645101</v>
      </c>
      <c r="Q392" s="45">
        <f t="shared" si="120"/>
        <v>823098.88111908641</v>
      </c>
      <c r="R392" s="45" t="str">
        <f t="shared" si="121"/>
        <v>No</v>
      </c>
      <c r="S392" s="46" t="str">
        <f t="shared" si="121"/>
        <v>Yes</v>
      </c>
      <c r="T392" s="47">
        <f>ROUND(INDEX(Summary!H:H,MATCH(H:H,Summary!A:A,0)),2)</f>
        <v>0</v>
      </c>
      <c r="U392" s="47">
        <f>ROUND(INDEX(Summary!I:I,MATCH(H:H,Summary!A:A,0)),2)</f>
        <v>0.3</v>
      </c>
      <c r="V392" s="81">
        <f t="shared" si="122"/>
        <v>0</v>
      </c>
      <c r="W392" s="81">
        <f t="shared" si="122"/>
        <v>523548.2180280711</v>
      </c>
      <c r="X392" s="45">
        <f t="shared" si="123"/>
        <v>523548.2180280711</v>
      </c>
      <c r="Y392" s="45" t="s">
        <v>2752</v>
      </c>
      <c r="Z392" s="45" t="str">
        <f t="shared" si="124"/>
        <v>No</v>
      </c>
      <c r="AA392" s="45" t="str">
        <f t="shared" si="124"/>
        <v>Yes</v>
      </c>
      <c r="AB392" s="45" t="str">
        <f t="shared" si="125"/>
        <v>Yes</v>
      </c>
      <c r="AC392" s="82">
        <f t="shared" si="126"/>
        <v>0</v>
      </c>
      <c r="AD392" s="82">
        <f t="shared" si="126"/>
        <v>0.12</v>
      </c>
      <c r="AE392" s="45">
        <f t="shared" si="127"/>
        <v>0</v>
      </c>
      <c r="AF392" s="45">
        <f t="shared" si="127"/>
        <v>209419.28721122842</v>
      </c>
      <c r="AG392" s="45">
        <f t="shared" si="128"/>
        <v>209419.28721122842</v>
      </c>
      <c r="AH392" s="47">
        <f>IFERROR(ROUNDDOWN(INDEX('90% of ACR'!K:K,MATCH(H:H,'90% of ACR'!A:A,0))*IF(I392&gt;0,IF(O392&gt;0,$R$4*MAX(O392-V392,0),0),0)/I392,2),0)</f>
        <v>0</v>
      </c>
      <c r="AI392" s="82">
        <f>IFERROR(ROUNDDOWN(INDEX('90% of ACR'!R:R,MATCH(H:H,'90% of ACR'!A:A,0))*IF(J392&gt;0,IF(P392&gt;0,$R$4*MAX(P392-W392,0),0),0)/J392,2),0)</f>
        <v>0.12</v>
      </c>
      <c r="AJ392" s="45">
        <f t="shared" si="129"/>
        <v>0</v>
      </c>
      <c r="AK392" s="45">
        <f t="shared" si="129"/>
        <v>209419.28721122842</v>
      </c>
      <c r="AL392" s="47">
        <f t="shared" si="130"/>
        <v>0</v>
      </c>
      <c r="AM392" s="47">
        <f t="shared" si="130"/>
        <v>0.42</v>
      </c>
      <c r="AN392" s="83">
        <f>IFERROR(INDEX('Fee Calc'!P:P,MATCH(C392,'Fee Calc'!F:F,0)),0)</f>
        <v>732967.5052392995</v>
      </c>
      <c r="AO392" s="83">
        <f>IFERROR(INDEX('Fee Calc'!Q:Q,MATCH(C392,'Fee Calc'!F:F,0)),0)</f>
        <v>45283.200875753057</v>
      </c>
      <c r="AP392" s="83">
        <f t="shared" si="131"/>
        <v>778250.70611505257</v>
      </c>
      <c r="AQ392" s="70">
        <f t="shared" si="132"/>
        <v>332337.95553372311</v>
      </c>
      <c r="AR392" s="70">
        <f t="shared" si="133"/>
        <v>166168.97776686156</v>
      </c>
      <c r="AS392" s="70">
        <f t="shared" si="134"/>
        <v>166168.97776686156</v>
      </c>
    </row>
    <row r="393" spans="1:45">
      <c r="A393" s="104" t="s">
        <v>356</v>
      </c>
      <c r="B393" s="124" t="s">
        <v>356</v>
      </c>
      <c r="C393" s="31" t="s">
        <v>357</v>
      </c>
      <c r="D393" s="125" t="s">
        <v>357</v>
      </c>
      <c r="E393" s="119" t="s">
        <v>2938</v>
      </c>
      <c r="F393" s="100" t="s">
        <v>2291</v>
      </c>
      <c r="G393" s="100" t="s">
        <v>310</v>
      </c>
      <c r="H393" s="43" t="str">
        <f t="shared" si="117"/>
        <v>Rural MRSA Northeast</v>
      </c>
      <c r="I393" s="45">
        <f>INDEX('Fee Calc'!M:M,MATCH(C:C,'Fee Calc'!F:F,0))</f>
        <v>280710.18991618569</v>
      </c>
      <c r="J393" s="45">
        <f>INDEX('Fee Calc'!L:L,MATCH(C:C,'Fee Calc'!F:F,0))</f>
        <v>858090.28500200284</v>
      </c>
      <c r="K393" s="45">
        <f t="shared" si="118"/>
        <v>1138800.4749181885</v>
      </c>
      <c r="L393" s="45">
        <v>46086.03</v>
      </c>
      <c r="M393" s="45">
        <v>-220045.22</v>
      </c>
      <c r="N393" s="45">
        <f t="shared" si="119"/>
        <v>-173959.19</v>
      </c>
      <c r="O393" s="45">
        <v>283294.3754971872</v>
      </c>
      <c r="P393" s="45">
        <v>517240.16524738848</v>
      </c>
      <c r="Q393" s="45">
        <f t="shared" si="120"/>
        <v>800534.54074457567</v>
      </c>
      <c r="R393" s="45" t="str">
        <f t="shared" si="121"/>
        <v>Yes</v>
      </c>
      <c r="S393" s="46" t="str">
        <f t="shared" si="121"/>
        <v>Yes</v>
      </c>
      <c r="T393" s="47">
        <f>ROUND(INDEX(Summary!H:H,MATCH(H:H,Summary!A:A,0)),2)</f>
        <v>0</v>
      </c>
      <c r="U393" s="47">
        <f>ROUND(INDEX(Summary!I:I,MATCH(H:H,Summary!A:A,0)),2)</f>
        <v>0.3</v>
      </c>
      <c r="V393" s="81">
        <f t="shared" si="122"/>
        <v>0</v>
      </c>
      <c r="W393" s="81">
        <f t="shared" si="122"/>
        <v>257427.08550060084</v>
      </c>
      <c r="X393" s="45">
        <f t="shared" si="123"/>
        <v>257427.08550060084</v>
      </c>
      <c r="Y393" s="45" t="s">
        <v>2752</v>
      </c>
      <c r="Z393" s="45" t="str">
        <f t="shared" si="124"/>
        <v>Yes</v>
      </c>
      <c r="AA393" s="45" t="str">
        <f t="shared" si="124"/>
        <v>Yes</v>
      </c>
      <c r="AB393" s="45" t="str">
        <f t="shared" si="125"/>
        <v>Yes</v>
      </c>
      <c r="AC393" s="82">
        <f t="shared" si="126"/>
        <v>0.7</v>
      </c>
      <c r="AD393" s="82">
        <f t="shared" si="126"/>
        <v>0.21</v>
      </c>
      <c r="AE393" s="45">
        <f t="shared" si="127"/>
        <v>196497.13294132997</v>
      </c>
      <c r="AF393" s="45">
        <f t="shared" si="127"/>
        <v>180198.95985042059</v>
      </c>
      <c r="AG393" s="45">
        <f t="shared" si="128"/>
        <v>376696.09279175056</v>
      </c>
      <c r="AH393" s="47">
        <f>IFERROR(ROUNDDOWN(INDEX('90% of ACR'!K:K,MATCH(H:H,'90% of ACR'!A:A,0))*IF(I393&gt;0,IF(O393&gt;0,$R$4*MAX(O393-V393,0),0),0)/I393,2),0)</f>
        <v>0.48</v>
      </c>
      <c r="AI393" s="82">
        <f>IFERROR(ROUNDDOWN(INDEX('90% of ACR'!R:R,MATCH(H:H,'90% of ACR'!A:A,0))*IF(J393&gt;0,IF(P393&gt;0,$R$4*MAX(P393-W393,0),0),0)/J393,2),0)</f>
        <v>0.21</v>
      </c>
      <c r="AJ393" s="45">
        <f t="shared" si="129"/>
        <v>134740.89115976912</v>
      </c>
      <c r="AK393" s="45">
        <f t="shared" si="129"/>
        <v>180198.95985042059</v>
      </c>
      <c r="AL393" s="47">
        <f t="shared" si="130"/>
        <v>0.48</v>
      </c>
      <c r="AM393" s="47">
        <f t="shared" si="130"/>
        <v>0.51</v>
      </c>
      <c r="AN393" s="83">
        <f>IFERROR(INDEX('Fee Calc'!P:P,MATCH(C393,'Fee Calc'!F:F,0)),0)</f>
        <v>572366.93651079061</v>
      </c>
      <c r="AO393" s="83">
        <f>IFERROR(INDEX('Fee Calc'!Q:Q,MATCH(C393,'Fee Calc'!F:F,0)),0)</f>
        <v>35602.454491784396</v>
      </c>
      <c r="AP393" s="83">
        <f t="shared" si="131"/>
        <v>607969.39100257505</v>
      </c>
      <c r="AQ393" s="70">
        <f t="shared" si="132"/>
        <v>259622.38497861163</v>
      </c>
      <c r="AR393" s="70">
        <f t="shared" si="133"/>
        <v>129811.19248930582</v>
      </c>
      <c r="AS393" s="70">
        <f t="shared" si="134"/>
        <v>129811.19248930582</v>
      </c>
    </row>
    <row r="394" spans="1:45">
      <c r="A394" s="104" t="s">
        <v>1500</v>
      </c>
      <c r="B394" s="124" t="s">
        <v>1500</v>
      </c>
      <c r="C394" s="31" t="s">
        <v>1501</v>
      </c>
      <c r="D394" s="125" t="s">
        <v>1501</v>
      </c>
      <c r="E394" s="119" t="s">
        <v>2939</v>
      </c>
      <c r="F394" s="100" t="s">
        <v>2279</v>
      </c>
      <c r="G394" s="100" t="s">
        <v>310</v>
      </c>
      <c r="H394" s="43" t="str">
        <f t="shared" si="117"/>
        <v>Urban MRSA Northeast</v>
      </c>
      <c r="I394" s="45">
        <f>INDEX('Fee Calc'!M:M,MATCH(C:C,'Fee Calc'!F:F,0))</f>
        <v>44952.146962135557</v>
      </c>
      <c r="J394" s="45">
        <f>INDEX('Fee Calc'!L:L,MATCH(C:C,'Fee Calc'!F:F,0))</f>
        <v>169052.86055938789</v>
      </c>
      <c r="K394" s="45">
        <f t="shared" si="118"/>
        <v>214005.00752152345</v>
      </c>
      <c r="L394" s="45">
        <v>-9636.84</v>
      </c>
      <c r="M394" s="45">
        <v>0</v>
      </c>
      <c r="N394" s="45">
        <f t="shared" si="119"/>
        <v>-9636.84</v>
      </c>
      <c r="O394" s="45">
        <v>-9143.9274089370974</v>
      </c>
      <c r="P394" s="45">
        <v>0</v>
      </c>
      <c r="Q394" s="45">
        <f t="shared" si="120"/>
        <v>-9143.9274089370974</v>
      </c>
      <c r="R394" s="45" t="str">
        <f t="shared" si="121"/>
        <v>No</v>
      </c>
      <c r="S394" s="46" t="str">
        <f t="shared" si="121"/>
        <v>No</v>
      </c>
      <c r="T394" s="47">
        <f>ROUND(INDEX(Summary!H:H,MATCH(H:H,Summary!A:A,0)),2)</f>
        <v>0.6</v>
      </c>
      <c r="U394" s="47">
        <f>ROUND(INDEX(Summary!I:I,MATCH(H:H,Summary!A:A,0)),2)</f>
        <v>0.99</v>
      </c>
      <c r="V394" s="81">
        <f t="shared" si="122"/>
        <v>26971.288177281334</v>
      </c>
      <c r="W394" s="81">
        <f t="shared" si="122"/>
        <v>167362.331953794</v>
      </c>
      <c r="X394" s="45">
        <f t="shared" si="123"/>
        <v>194333.62013107532</v>
      </c>
      <c r="Y394" s="45" t="s">
        <v>2752</v>
      </c>
      <c r="Z394" s="45" t="str">
        <f t="shared" si="124"/>
        <v>No</v>
      </c>
      <c r="AA394" s="45" t="str">
        <f t="shared" si="124"/>
        <v>No</v>
      </c>
      <c r="AB394" s="45" t="str">
        <f t="shared" si="125"/>
        <v>No</v>
      </c>
      <c r="AC394" s="82">
        <f t="shared" si="126"/>
        <v>0</v>
      </c>
      <c r="AD394" s="82">
        <f t="shared" si="126"/>
        <v>0</v>
      </c>
      <c r="AE394" s="45">
        <f t="shared" si="127"/>
        <v>0</v>
      </c>
      <c r="AF394" s="45">
        <f t="shared" si="127"/>
        <v>0</v>
      </c>
      <c r="AG394" s="45">
        <f t="shared" si="128"/>
        <v>0</v>
      </c>
      <c r="AH394" s="47">
        <f>IFERROR(ROUNDDOWN(INDEX('90% of ACR'!K:K,MATCH(H:H,'90% of ACR'!A:A,0))*IF(I394&gt;0,IF(O394&gt;0,$R$4*MAX(O394-V394,0),0),0)/I394,2),0)</f>
        <v>0</v>
      </c>
      <c r="AI394" s="82">
        <f>IFERROR(ROUNDDOWN(INDEX('90% of ACR'!R:R,MATCH(H:H,'90% of ACR'!A:A,0))*IF(J394&gt;0,IF(P394&gt;0,$R$4*MAX(P394-W394,0),0),0)/J394,2),0)</f>
        <v>0</v>
      </c>
      <c r="AJ394" s="45">
        <f t="shared" si="129"/>
        <v>0</v>
      </c>
      <c r="AK394" s="45">
        <f t="shared" si="129"/>
        <v>0</v>
      </c>
      <c r="AL394" s="47">
        <f t="shared" si="130"/>
        <v>0.6</v>
      </c>
      <c r="AM394" s="47">
        <f t="shared" si="130"/>
        <v>0.99</v>
      </c>
      <c r="AN394" s="83">
        <f>IFERROR(INDEX('Fee Calc'!P:P,MATCH(C394,'Fee Calc'!F:F,0)),0)</f>
        <v>194333.62013107532</v>
      </c>
      <c r="AO394" s="83">
        <f>IFERROR(INDEX('Fee Calc'!Q:Q,MATCH(C394,'Fee Calc'!F:F,0)),0)</f>
        <v>12104.553155333075</v>
      </c>
      <c r="AP394" s="83">
        <f t="shared" si="131"/>
        <v>206438.17328640839</v>
      </c>
      <c r="AQ394" s="70">
        <f t="shared" si="132"/>
        <v>88155.706014841562</v>
      </c>
      <c r="AR394" s="70">
        <f t="shared" si="133"/>
        <v>44077.853007420781</v>
      </c>
      <c r="AS394" s="70">
        <f t="shared" si="134"/>
        <v>44077.853007420781</v>
      </c>
    </row>
    <row r="395" spans="1:45">
      <c r="A395" s="104" t="s">
        <v>459</v>
      </c>
      <c r="B395" s="124" t="s">
        <v>459</v>
      </c>
      <c r="C395" s="31" t="s">
        <v>460</v>
      </c>
      <c r="D395" s="125" t="s">
        <v>460</v>
      </c>
      <c r="E395" s="119" t="s">
        <v>2940</v>
      </c>
      <c r="F395" s="100" t="s">
        <v>2279</v>
      </c>
      <c r="G395" s="100" t="s">
        <v>310</v>
      </c>
      <c r="H395" s="43" t="str">
        <f t="shared" si="117"/>
        <v>Urban MRSA Northeast</v>
      </c>
      <c r="I395" s="45">
        <f>INDEX('Fee Calc'!M:M,MATCH(C:C,'Fee Calc'!F:F,0))</f>
        <v>11899772.050613068</v>
      </c>
      <c r="J395" s="45">
        <f>INDEX('Fee Calc'!L:L,MATCH(C:C,'Fee Calc'!F:F,0))</f>
        <v>4293454.808738241</v>
      </c>
      <c r="K395" s="45">
        <f t="shared" si="118"/>
        <v>16193226.859351309</v>
      </c>
      <c r="L395" s="45">
        <v>6071582.4299999997</v>
      </c>
      <c r="M395" s="45">
        <v>4875228.2699999996</v>
      </c>
      <c r="N395" s="45">
        <f t="shared" si="119"/>
        <v>10946810.699999999</v>
      </c>
      <c r="O395" s="45">
        <v>25585786.483520813</v>
      </c>
      <c r="P395" s="45">
        <v>7441586.7118407674</v>
      </c>
      <c r="Q395" s="45">
        <f t="shared" si="120"/>
        <v>33027373.195361581</v>
      </c>
      <c r="R395" s="45" t="str">
        <f t="shared" si="121"/>
        <v>Yes</v>
      </c>
      <c r="S395" s="46" t="str">
        <f t="shared" si="121"/>
        <v>Yes</v>
      </c>
      <c r="T395" s="47">
        <f>ROUND(INDEX(Summary!H:H,MATCH(H:H,Summary!A:A,0)),2)</f>
        <v>0.6</v>
      </c>
      <c r="U395" s="47">
        <f>ROUND(INDEX(Summary!I:I,MATCH(H:H,Summary!A:A,0)),2)</f>
        <v>0.99</v>
      </c>
      <c r="V395" s="81">
        <f t="shared" si="122"/>
        <v>7139863.2303678403</v>
      </c>
      <c r="W395" s="81">
        <f t="shared" si="122"/>
        <v>4250520.2606508583</v>
      </c>
      <c r="X395" s="45">
        <f t="shared" si="123"/>
        <v>11390383.491018698</v>
      </c>
      <c r="Y395" s="45" t="s">
        <v>2752</v>
      </c>
      <c r="Z395" s="45" t="str">
        <f t="shared" si="124"/>
        <v>Yes</v>
      </c>
      <c r="AA395" s="45" t="str">
        <f t="shared" si="124"/>
        <v>Yes</v>
      </c>
      <c r="AB395" s="45" t="str">
        <f t="shared" si="125"/>
        <v>Yes</v>
      </c>
      <c r="AC395" s="82">
        <f t="shared" si="126"/>
        <v>1.08</v>
      </c>
      <c r="AD395" s="82">
        <f t="shared" si="126"/>
        <v>0.52</v>
      </c>
      <c r="AE395" s="45">
        <f t="shared" si="127"/>
        <v>12851753.814662114</v>
      </c>
      <c r="AF395" s="45">
        <f t="shared" si="127"/>
        <v>2232596.5005438854</v>
      </c>
      <c r="AG395" s="45">
        <f t="shared" si="128"/>
        <v>15084350.315205999</v>
      </c>
      <c r="AH395" s="47">
        <f>IFERROR(ROUNDDOWN(INDEX('90% of ACR'!K:K,MATCH(H:H,'90% of ACR'!A:A,0))*IF(I395&gt;0,IF(O395&gt;0,$R$4*MAX(O395-V395,0),0),0)/I395,2),0)</f>
        <v>1.07</v>
      </c>
      <c r="AI395" s="82">
        <f>IFERROR(ROUNDDOWN(INDEX('90% of ACR'!R:R,MATCH(H:H,'90% of ACR'!A:A,0))*IF(J395&gt;0,IF(P395&gt;0,$R$4*MAX(P395-W395,0),0),0)/J395,2),0)</f>
        <v>0.51</v>
      </c>
      <c r="AJ395" s="45">
        <f t="shared" si="129"/>
        <v>12732756.094155984</v>
      </c>
      <c r="AK395" s="45">
        <f t="shared" si="129"/>
        <v>2189661.9524565027</v>
      </c>
      <c r="AL395" s="47">
        <f t="shared" si="130"/>
        <v>1.67</v>
      </c>
      <c r="AM395" s="47">
        <f t="shared" si="130"/>
        <v>1.5</v>
      </c>
      <c r="AN395" s="83">
        <f>IFERROR(INDEX('Fee Calc'!P:P,MATCH(C395,'Fee Calc'!F:F,0)),0)</f>
        <v>26312801.537631184</v>
      </c>
      <c r="AO395" s="83">
        <f>IFERROR(INDEX('Fee Calc'!Q:Q,MATCH(C395,'Fee Calc'!F:F,0)),0)</f>
        <v>1650994.9738557865</v>
      </c>
      <c r="AP395" s="83">
        <f t="shared" si="131"/>
        <v>27963796.51148697</v>
      </c>
      <c r="AQ395" s="70">
        <f t="shared" si="132"/>
        <v>11941435.951893304</v>
      </c>
      <c r="AR395" s="70">
        <f t="shared" si="133"/>
        <v>5970717.9759466518</v>
      </c>
      <c r="AS395" s="70">
        <f t="shared" si="134"/>
        <v>5970717.9759466518</v>
      </c>
    </row>
    <row r="396" spans="1:45">
      <c r="A396" s="104" t="s">
        <v>46</v>
      </c>
      <c r="B396" s="124" t="s">
        <v>46</v>
      </c>
      <c r="C396" s="31" t="s">
        <v>47</v>
      </c>
      <c r="D396" s="125" t="s">
        <v>47</v>
      </c>
      <c r="E396" s="119" t="s">
        <v>2941</v>
      </c>
      <c r="F396" s="100" t="s">
        <v>2279</v>
      </c>
      <c r="G396" s="100" t="s">
        <v>1526</v>
      </c>
      <c r="H396" s="43" t="str">
        <f t="shared" si="117"/>
        <v>Urban Lubbock</v>
      </c>
      <c r="I396" s="45">
        <f>INDEX('Fee Calc'!M:M,MATCH(C:C,'Fee Calc'!F:F,0))</f>
        <v>7361943.4496936323</v>
      </c>
      <c r="J396" s="45">
        <f>INDEX('Fee Calc'!L:L,MATCH(C:C,'Fee Calc'!F:F,0))</f>
        <v>6630879.0629820256</v>
      </c>
      <c r="K396" s="45">
        <f t="shared" si="118"/>
        <v>13992822.512675658</v>
      </c>
      <c r="L396" s="45">
        <v>3096514.45</v>
      </c>
      <c r="M396" s="45">
        <v>4616605.63</v>
      </c>
      <c r="N396" s="45">
        <f t="shared" si="119"/>
        <v>7713120.0800000001</v>
      </c>
      <c r="O396" s="45">
        <v>13184042.61690696</v>
      </c>
      <c r="P396" s="45">
        <v>9646179.5855668783</v>
      </c>
      <c r="Q396" s="45">
        <f t="shared" si="120"/>
        <v>22830222.202473838</v>
      </c>
      <c r="R396" s="45" t="str">
        <f t="shared" si="121"/>
        <v>Yes</v>
      </c>
      <c r="S396" s="46" t="str">
        <f t="shared" si="121"/>
        <v>Yes</v>
      </c>
      <c r="T396" s="47">
        <f>ROUND(INDEX(Summary!H:H,MATCH(H:H,Summary!A:A,0)),2)</f>
        <v>0</v>
      </c>
      <c r="U396" s="47">
        <f>ROUND(INDEX(Summary!I:I,MATCH(H:H,Summary!A:A,0)),2)</f>
        <v>0.61</v>
      </c>
      <c r="V396" s="81">
        <f t="shared" si="122"/>
        <v>0</v>
      </c>
      <c r="W396" s="81">
        <f t="shared" si="122"/>
        <v>4044836.2284190357</v>
      </c>
      <c r="X396" s="45">
        <f t="shared" si="123"/>
        <v>4044836.2284190357</v>
      </c>
      <c r="Y396" s="45" t="s">
        <v>2752</v>
      </c>
      <c r="Z396" s="45" t="str">
        <f t="shared" si="124"/>
        <v>Yes</v>
      </c>
      <c r="AA396" s="45" t="str">
        <f t="shared" si="124"/>
        <v>Yes</v>
      </c>
      <c r="AB396" s="45" t="str">
        <f t="shared" si="125"/>
        <v>Yes</v>
      </c>
      <c r="AC396" s="82">
        <f t="shared" si="126"/>
        <v>1.25</v>
      </c>
      <c r="AD396" s="82">
        <f t="shared" si="126"/>
        <v>0.59</v>
      </c>
      <c r="AE396" s="45">
        <f t="shared" si="127"/>
        <v>9202429.3121170402</v>
      </c>
      <c r="AF396" s="45">
        <f t="shared" si="127"/>
        <v>3912218.6471593948</v>
      </c>
      <c r="AG396" s="45">
        <f t="shared" si="128"/>
        <v>13114647.959276434</v>
      </c>
      <c r="AH396" s="47">
        <f>IFERROR(ROUNDDOWN(INDEX('90% of ACR'!K:K,MATCH(H:H,'90% of ACR'!A:A,0))*IF(I396&gt;0,IF(O396&gt;0,$R$4*MAX(O396-V396,0),0),0)/I396,2),0)</f>
        <v>0.46</v>
      </c>
      <c r="AI396" s="82">
        <f>IFERROR(ROUNDDOWN(INDEX('90% of ACR'!R:R,MATCH(H:H,'90% of ACR'!A:A,0))*IF(J396&gt;0,IF(P396&gt;0,$R$4*MAX(P396-W396,0),0),0)/J396,2),0)</f>
        <v>0.53</v>
      </c>
      <c r="AJ396" s="45">
        <f t="shared" si="129"/>
        <v>3386493.9868590711</v>
      </c>
      <c r="AK396" s="45">
        <f t="shared" si="129"/>
        <v>3514365.9033804736</v>
      </c>
      <c r="AL396" s="47">
        <f t="shared" si="130"/>
        <v>0.46</v>
      </c>
      <c r="AM396" s="47">
        <f t="shared" si="130"/>
        <v>1.1400000000000001</v>
      </c>
      <c r="AN396" s="83">
        <f>IFERROR(INDEX('Fee Calc'!P:P,MATCH(C396,'Fee Calc'!F:F,0)),0)</f>
        <v>10945696.11865858</v>
      </c>
      <c r="AO396" s="83">
        <f>IFERROR(INDEX('Fee Calc'!Q:Q,MATCH(C396,'Fee Calc'!F:F,0)),0)</f>
        <v>679252.6977244775</v>
      </c>
      <c r="AP396" s="83">
        <f t="shared" si="131"/>
        <v>11624948.816383058</v>
      </c>
      <c r="AQ396" s="70">
        <f t="shared" si="132"/>
        <v>4964225.1429576902</v>
      </c>
      <c r="AR396" s="70">
        <f t="shared" si="133"/>
        <v>2482112.5714788451</v>
      </c>
      <c r="AS396" s="70">
        <f t="shared" si="134"/>
        <v>2482112.5714788451</v>
      </c>
    </row>
    <row r="397" spans="1:45">
      <c r="A397" s="104" t="s">
        <v>750</v>
      </c>
      <c r="B397" s="124" t="s">
        <v>750</v>
      </c>
      <c r="C397" s="31" t="s">
        <v>751</v>
      </c>
      <c r="D397" s="125" t="s">
        <v>751</v>
      </c>
      <c r="E397" s="119" t="s">
        <v>2658</v>
      </c>
      <c r="F397" s="100" t="s">
        <v>2279</v>
      </c>
      <c r="G397" s="100" t="s">
        <v>1486</v>
      </c>
      <c r="H397" s="43" t="str">
        <f t="shared" si="117"/>
        <v>Urban MRSA Central</v>
      </c>
      <c r="I397" s="45">
        <f>INDEX('Fee Calc'!M:M,MATCH(C:C,'Fee Calc'!F:F,0))</f>
        <v>4241235.3925123001</v>
      </c>
      <c r="J397" s="45">
        <f>INDEX('Fee Calc'!L:L,MATCH(C:C,'Fee Calc'!F:F,0))</f>
        <v>4942609.3685555924</v>
      </c>
      <c r="K397" s="45">
        <f t="shared" si="118"/>
        <v>9183844.7610678934</v>
      </c>
      <c r="L397" s="45">
        <v>2598514.2000000002</v>
      </c>
      <c r="M397" s="45">
        <v>4457038.87</v>
      </c>
      <c r="N397" s="45">
        <f t="shared" si="119"/>
        <v>7055553.0700000003</v>
      </c>
      <c r="O397" s="45">
        <v>4943213.8479150543</v>
      </c>
      <c r="P397" s="45">
        <v>6540356.408305835</v>
      </c>
      <c r="Q397" s="45">
        <f t="shared" si="120"/>
        <v>11483570.256220888</v>
      </c>
      <c r="R397" s="45" t="str">
        <f t="shared" si="121"/>
        <v>Yes</v>
      </c>
      <c r="S397" s="46" t="str">
        <f t="shared" si="121"/>
        <v>Yes</v>
      </c>
      <c r="T397" s="47">
        <f>ROUND(INDEX(Summary!H:H,MATCH(H:H,Summary!A:A,0)),2)</f>
        <v>0.43</v>
      </c>
      <c r="U397" s="47">
        <f>ROUND(INDEX(Summary!I:I,MATCH(H:H,Summary!A:A,0)),2)</f>
        <v>0.92</v>
      </c>
      <c r="V397" s="81">
        <f t="shared" si="122"/>
        <v>1823731.2187802889</v>
      </c>
      <c r="W397" s="81">
        <f t="shared" si="122"/>
        <v>4547200.6190711455</v>
      </c>
      <c r="X397" s="45">
        <f t="shared" si="123"/>
        <v>6370931.8378514349</v>
      </c>
      <c r="Y397" s="45" t="s">
        <v>2752</v>
      </c>
      <c r="Z397" s="45" t="str">
        <f t="shared" si="124"/>
        <v>Yes</v>
      </c>
      <c r="AA397" s="45" t="str">
        <f t="shared" si="124"/>
        <v>No</v>
      </c>
      <c r="AB397" s="45" t="str">
        <f t="shared" si="125"/>
        <v>Yes</v>
      </c>
      <c r="AC397" s="82">
        <f t="shared" si="126"/>
        <v>0.51</v>
      </c>
      <c r="AD397" s="82">
        <f t="shared" si="126"/>
        <v>0.28000000000000003</v>
      </c>
      <c r="AE397" s="45">
        <f t="shared" si="127"/>
        <v>2163030.0501812729</v>
      </c>
      <c r="AF397" s="45">
        <f t="shared" si="127"/>
        <v>1383930.623195566</v>
      </c>
      <c r="AG397" s="45">
        <f t="shared" si="128"/>
        <v>3546960.6733768387</v>
      </c>
      <c r="AH397" s="47">
        <f>IFERROR(ROUNDDOWN(INDEX('90% of ACR'!K:K,MATCH(H:H,'90% of ACR'!A:A,0))*IF(I397&gt;0,IF(O397&gt;0,$R$4*MAX(O397-V397,0),0),0)/I397,2),0)</f>
        <v>0.51</v>
      </c>
      <c r="AI397" s="82">
        <f>IFERROR(ROUNDDOWN(INDEX('90% of ACR'!R:R,MATCH(H:H,'90% of ACR'!A:A,0))*IF(J397&gt;0,IF(P397&gt;0,$R$4*MAX(P397-W397,0),0),0)/J397,2),0)</f>
        <v>0</v>
      </c>
      <c r="AJ397" s="45">
        <f t="shared" si="129"/>
        <v>2163030.0501812729</v>
      </c>
      <c r="AK397" s="45">
        <f t="shared" si="129"/>
        <v>0</v>
      </c>
      <c r="AL397" s="47">
        <f t="shared" si="130"/>
        <v>0.94</v>
      </c>
      <c r="AM397" s="47">
        <f t="shared" si="130"/>
        <v>0.92</v>
      </c>
      <c r="AN397" s="83">
        <f>IFERROR(INDEX('Fee Calc'!P:P,MATCH(C397,'Fee Calc'!F:F,0)),0)</f>
        <v>8533961.8880327083</v>
      </c>
      <c r="AO397" s="83">
        <f>IFERROR(INDEX('Fee Calc'!Q:Q,MATCH(C397,'Fee Calc'!F:F,0)),0)</f>
        <v>525040.38039319462</v>
      </c>
      <c r="AP397" s="83">
        <f t="shared" si="131"/>
        <v>9059002.2684259024</v>
      </c>
      <c r="AQ397" s="70">
        <f t="shared" si="132"/>
        <v>3868483.8566904496</v>
      </c>
      <c r="AR397" s="70">
        <f t="shared" si="133"/>
        <v>1934241.9283452248</v>
      </c>
      <c r="AS397" s="70">
        <f t="shared" si="134"/>
        <v>1934241.9283452248</v>
      </c>
    </row>
    <row r="398" spans="1:45">
      <c r="A398" s="104" t="s">
        <v>317</v>
      </c>
      <c r="B398" s="124" t="s">
        <v>317</v>
      </c>
      <c r="C398" s="31" t="s">
        <v>318</v>
      </c>
      <c r="D398" s="125" t="s">
        <v>318</v>
      </c>
      <c r="E398" s="119" t="s">
        <v>2942</v>
      </c>
      <c r="F398" s="100" t="s">
        <v>2279</v>
      </c>
      <c r="G398" s="100" t="s">
        <v>1526</v>
      </c>
      <c r="H398" s="43" t="str">
        <f t="shared" si="117"/>
        <v>Urban Lubbock</v>
      </c>
      <c r="I398" s="45">
        <f>INDEX('Fee Calc'!M:M,MATCH(C:C,'Fee Calc'!F:F,0))</f>
        <v>44932.232977910287</v>
      </c>
      <c r="J398" s="45">
        <f>INDEX('Fee Calc'!L:L,MATCH(C:C,'Fee Calc'!F:F,0))</f>
        <v>175082.81639279591</v>
      </c>
      <c r="K398" s="45">
        <f t="shared" si="118"/>
        <v>220015.0493707062</v>
      </c>
      <c r="L398" s="45">
        <v>5070.76</v>
      </c>
      <c r="M398" s="45">
        <v>734941.45</v>
      </c>
      <c r="N398" s="45">
        <f t="shared" si="119"/>
        <v>740012.21</v>
      </c>
      <c r="O398" s="45">
        <v>57286.930076824225</v>
      </c>
      <c r="P398" s="45">
        <v>900610.89823741105</v>
      </c>
      <c r="Q398" s="45">
        <f t="shared" si="120"/>
        <v>957897.82831423532</v>
      </c>
      <c r="R398" s="45" t="str">
        <f t="shared" si="121"/>
        <v>Yes</v>
      </c>
      <c r="S398" s="46" t="str">
        <f t="shared" si="121"/>
        <v>Yes</v>
      </c>
      <c r="T398" s="47">
        <f>ROUND(INDEX(Summary!H:H,MATCH(H:H,Summary!A:A,0)),2)</f>
        <v>0</v>
      </c>
      <c r="U398" s="47">
        <f>ROUND(INDEX(Summary!I:I,MATCH(H:H,Summary!A:A,0)),2)</f>
        <v>0.61</v>
      </c>
      <c r="V398" s="81">
        <f t="shared" si="122"/>
        <v>0</v>
      </c>
      <c r="W398" s="81">
        <f t="shared" si="122"/>
        <v>106800.51799960551</v>
      </c>
      <c r="X398" s="45">
        <f t="shared" si="123"/>
        <v>106800.51799960551</v>
      </c>
      <c r="Y398" s="45" t="s">
        <v>2752</v>
      </c>
      <c r="Z398" s="45" t="str">
        <f t="shared" si="124"/>
        <v>Yes</v>
      </c>
      <c r="AA398" s="45" t="str">
        <f t="shared" si="124"/>
        <v>Yes</v>
      </c>
      <c r="AB398" s="45" t="str">
        <f t="shared" si="125"/>
        <v>Yes</v>
      </c>
      <c r="AC398" s="82">
        <f t="shared" si="126"/>
        <v>0.89</v>
      </c>
      <c r="AD398" s="82">
        <f t="shared" si="126"/>
        <v>3.16</v>
      </c>
      <c r="AE398" s="45">
        <f t="shared" si="127"/>
        <v>39989.687350340158</v>
      </c>
      <c r="AF398" s="45">
        <f t="shared" si="127"/>
        <v>553261.69980123511</v>
      </c>
      <c r="AG398" s="45">
        <f t="shared" si="128"/>
        <v>593251.3871515753</v>
      </c>
      <c r="AH398" s="47">
        <f>IFERROR(ROUNDDOWN(INDEX('90% of ACR'!K:K,MATCH(H:H,'90% of ACR'!A:A,0))*IF(I398&gt;0,IF(O398&gt;0,$R$4*MAX(O398-V398,0),0),0)/I398,2),0)</f>
        <v>0.32</v>
      </c>
      <c r="AI398" s="82">
        <f>IFERROR(ROUNDDOWN(INDEX('90% of ACR'!R:R,MATCH(H:H,'90% of ACR'!A:A,0))*IF(J398&gt;0,IF(P398&gt;0,$R$4*MAX(P398-W398,0),0),0)/J398,2),0)</f>
        <v>2.86</v>
      </c>
      <c r="AJ398" s="45">
        <f t="shared" si="129"/>
        <v>14378.314552931291</v>
      </c>
      <c r="AK398" s="45">
        <f t="shared" si="129"/>
        <v>500736.8548833963</v>
      </c>
      <c r="AL398" s="47">
        <f t="shared" si="130"/>
        <v>0.32</v>
      </c>
      <c r="AM398" s="47">
        <f t="shared" si="130"/>
        <v>3.4699999999999998</v>
      </c>
      <c r="AN398" s="83">
        <f>IFERROR(INDEX('Fee Calc'!P:P,MATCH(C398,'Fee Calc'!F:F,0)),0)</f>
        <v>621915.68743593316</v>
      </c>
      <c r="AO398" s="83">
        <f>IFERROR(INDEX('Fee Calc'!Q:Q,MATCH(C398,'Fee Calc'!F:F,0)),0)</f>
        <v>37992.172824138273</v>
      </c>
      <c r="AP398" s="83">
        <f t="shared" si="131"/>
        <v>659907.86026007147</v>
      </c>
      <c r="AQ398" s="70">
        <f t="shared" si="132"/>
        <v>281801.77338257886</v>
      </c>
      <c r="AR398" s="70">
        <f t="shared" si="133"/>
        <v>140900.88669128943</v>
      </c>
      <c r="AS398" s="70">
        <f t="shared" si="134"/>
        <v>140900.88669128943</v>
      </c>
    </row>
    <row r="399" spans="1:45">
      <c r="A399" s="104" t="s">
        <v>527</v>
      </c>
      <c r="B399" s="124" t="s">
        <v>527</v>
      </c>
      <c r="C399" s="31" t="s">
        <v>528</v>
      </c>
      <c r="D399" s="125" t="s">
        <v>528</v>
      </c>
      <c r="E399" s="119" t="s">
        <v>2943</v>
      </c>
      <c r="F399" s="100" t="s">
        <v>2291</v>
      </c>
      <c r="G399" s="100" t="s">
        <v>1550</v>
      </c>
      <c r="H399" s="43" t="str">
        <f t="shared" si="117"/>
        <v>Rural Jefferson</v>
      </c>
      <c r="I399" s="45">
        <f>INDEX('Fee Calc'!M:M,MATCH(C:C,'Fee Calc'!F:F,0))</f>
        <v>80855.579014968171</v>
      </c>
      <c r="J399" s="45">
        <f>INDEX('Fee Calc'!L:L,MATCH(C:C,'Fee Calc'!F:F,0))</f>
        <v>534427.10983792436</v>
      </c>
      <c r="K399" s="45">
        <f t="shared" si="118"/>
        <v>615282.68885289249</v>
      </c>
      <c r="L399" s="45">
        <v>113449.55</v>
      </c>
      <c r="M399" s="45">
        <v>-43062.54</v>
      </c>
      <c r="N399" s="45">
        <f t="shared" si="119"/>
        <v>70387.010000000009</v>
      </c>
      <c r="O399" s="45">
        <v>-23524.637460773298</v>
      </c>
      <c r="P399" s="45">
        <v>-129470.68148315419</v>
      </c>
      <c r="Q399" s="45">
        <f t="shared" si="120"/>
        <v>-152995.31894392747</v>
      </c>
      <c r="R399" s="45" t="str">
        <f t="shared" si="121"/>
        <v>No</v>
      </c>
      <c r="S399" s="46" t="str">
        <f t="shared" si="121"/>
        <v>No</v>
      </c>
      <c r="T399" s="47">
        <f>ROUND(INDEX(Summary!H:H,MATCH(H:H,Summary!A:A,0)),2)</f>
        <v>0</v>
      </c>
      <c r="U399" s="47">
        <f>ROUND(INDEX(Summary!I:I,MATCH(H:H,Summary!A:A,0)),2)</f>
        <v>0.22</v>
      </c>
      <c r="V399" s="81">
        <f t="shared" si="122"/>
        <v>0</v>
      </c>
      <c r="W399" s="81">
        <f t="shared" si="122"/>
        <v>117573.96416434336</v>
      </c>
      <c r="X399" s="45">
        <f t="shared" si="123"/>
        <v>117573.96416434336</v>
      </c>
      <c r="Y399" s="45" t="s">
        <v>2752</v>
      </c>
      <c r="Z399" s="45" t="str">
        <f t="shared" si="124"/>
        <v>No</v>
      </c>
      <c r="AA399" s="45" t="str">
        <f t="shared" si="124"/>
        <v>No</v>
      </c>
      <c r="AB399" s="45" t="str">
        <f t="shared" si="125"/>
        <v>No</v>
      </c>
      <c r="AC399" s="82">
        <f t="shared" si="126"/>
        <v>0</v>
      </c>
      <c r="AD399" s="82">
        <f t="shared" si="126"/>
        <v>0</v>
      </c>
      <c r="AE399" s="45">
        <f t="shared" si="127"/>
        <v>0</v>
      </c>
      <c r="AF399" s="45">
        <f t="shared" si="127"/>
        <v>0</v>
      </c>
      <c r="AG399" s="45">
        <f t="shared" si="128"/>
        <v>0</v>
      </c>
      <c r="AH399" s="47">
        <f>IFERROR(ROUNDDOWN(INDEX('90% of ACR'!K:K,MATCH(H:H,'90% of ACR'!A:A,0))*IF(I399&gt;0,IF(O399&gt;0,$R$4*MAX(O399-V399,0),0),0)/I399,2),0)</f>
        <v>0</v>
      </c>
      <c r="AI399" s="82">
        <f>IFERROR(ROUNDDOWN(INDEX('90% of ACR'!R:R,MATCH(H:H,'90% of ACR'!A:A,0))*IF(J399&gt;0,IF(P399&gt;0,$R$4*MAX(P399-W399,0),0),0)/J399,2),0)</f>
        <v>0</v>
      </c>
      <c r="AJ399" s="45">
        <f t="shared" si="129"/>
        <v>0</v>
      </c>
      <c r="AK399" s="45">
        <f t="shared" si="129"/>
        <v>0</v>
      </c>
      <c r="AL399" s="47">
        <f t="shared" si="130"/>
        <v>0</v>
      </c>
      <c r="AM399" s="47">
        <f t="shared" si="130"/>
        <v>0.22</v>
      </c>
      <c r="AN399" s="83">
        <f>IFERROR(INDEX('Fee Calc'!P:P,MATCH(C399,'Fee Calc'!F:F,0)),0)</f>
        <v>117573.96416434336</v>
      </c>
      <c r="AO399" s="83">
        <f>IFERROR(INDEX('Fee Calc'!Q:Q,MATCH(C399,'Fee Calc'!F:F,0)),0)</f>
        <v>7253.7237268662657</v>
      </c>
      <c r="AP399" s="83">
        <f t="shared" si="131"/>
        <v>124827.68789120963</v>
      </c>
      <c r="AQ399" s="70">
        <f t="shared" si="132"/>
        <v>53305.417215559028</v>
      </c>
      <c r="AR399" s="70">
        <f t="shared" si="133"/>
        <v>26652.708607779514</v>
      </c>
      <c r="AS399" s="70">
        <f t="shared" si="134"/>
        <v>26652.708607779514</v>
      </c>
    </row>
    <row r="400" spans="1:45">
      <c r="A400" s="104" t="s">
        <v>1183</v>
      </c>
      <c r="B400" s="124" t="s">
        <v>1183</v>
      </c>
      <c r="C400" s="31" t="s">
        <v>1184</v>
      </c>
      <c r="D400" s="125" t="s">
        <v>1184</v>
      </c>
      <c r="E400" s="119" t="s">
        <v>2344</v>
      </c>
      <c r="F400" s="100" t="s">
        <v>2291</v>
      </c>
      <c r="G400" s="100" t="s">
        <v>1486</v>
      </c>
      <c r="H400" s="43" t="str">
        <f t="shared" si="117"/>
        <v>Rural MRSA Central</v>
      </c>
      <c r="I400" s="45">
        <f>INDEX('Fee Calc'!M:M,MATCH(C:C,'Fee Calc'!F:F,0))</f>
        <v>180992.18881647143</v>
      </c>
      <c r="J400" s="45">
        <f>INDEX('Fee Calc'!L:L,MATCH(C:C,'Fee Calc'!F:F,0))</f>
        <v>668798.39205197082</v>
      </c>
      <c r="K400" s="45">
        <f t="shared" si="118"/>
        <v>849790.58086844231</v>
      </c>
      <c r="L400" s="45">
        <v>269002.36</v>
      </c>
      <c r="M400" s="45">
        <v>56889.919999999998</v>
      </c>
      <c r="N400" s="45">
        <f t="shared" si="119"/>
        <v>325892.27999999997</v>
      </c>
      <c r="O400" s="45">
        <v>230128.23713584722</v>
      </c>
      <c r="P400" s="45">
        <v>504765.71048595151</v>
      </c>
      <c r="Q400" s="45">
        <f t="shared" si="120"/>
        <v>734893.94762179872</v>
      </c>
      <c r="R400" s="45" t="str">
        <f t="shared" si="121"/>
        <v>Yes</v>
      </c>
      <c r="S400" s="46" t="str">
        <f t="shared" si="121"/>
        <v>Yes</v>
      </c>
      <c r="T400" s="47">
        <f>ROUND(INDEX(Summary!H:H,MATCH(H:H,Summary!A:A,0)),2)</f>
        <v>0.09</v>
      </c>
      <c r="U400" s="47">
        <f>ROUND(INDEX(Summary!I:I,MATCH(H:H,Summary!A:A,0)),2)</f>
        <v>0.09</v>
      </c>
      <c r="V400" s="81">
        <f t="shared" si="122"/>
        <v>16289.296993482429</v>
      </c>
      <c r="W400" s="81">
        <f t="shared" si="122"/>
        <v>60191.855284677375</v>
      </c>
      <c r="X400" s="45">
        <f t="shared" si="123"/>
        <v>76481.152278159803</v>
      </c>
      <c r="Y400" s="45" t="s">
        <v>2752</v>
      </c>
      <c r="Z400" s="45" t="str">
        <f t="shared" si="124"/>
        <v>Yes</v>
      </c>
      <c r="AA400" s="45" t="str">
        <f t="shared" si="124"/>
        <v>Yes</v>
      </c>
      <c r="AB400" s="45" t="str">
        <f t="shared" si="125"/>
        <v>Yes</v>
      </c>
      <c r="AC400" s="82">
        <f t="shared" si="126"/>
        <v>0.82</v>
      </c>
      <c r="AD400" s="82">
        <f t="shared" si="126"/>
        <v>0.46</v>
      </c>
      <c r="AE400" s="45">
        <f t="shared" si="127"/>
        <v>148413.59482950656</v>
      </c>
      <c r="AF400" s="45">
        <f t="shared" si="127"/>
        <v>307647.26034390659</v>
      </c>
      <c r="AG400" s="45">
        <f t="shared" si="128"/>
        <v>456060.85517341318</v>
      </c>
      <c r="AH400" s="47">
        <f>IFERROR(ROUNDDOWN(INDEX('90% of ACR'!K:K,MATCH(H:H,'90% of ACR'!A:A,0))*IF(I400&gt;0,IF(O400&gt;0,$R$4*MAX(O400-V400,0),0),0)/I400,2),0)</f>
        <v>0.42</v>
      </c>
      <c r="AI400" s="82">
        <f>IFERROR(ROUNDDOWN(INDEX('90% of ACR'!R:R,MATCH(H:H,'90% of ACR'!A:A,0))*IF(J400&gt;0,IF(P400&gt;0,$R$4*MAX(P400-W400,0),0),0)/J400,2),0)</f>
        <v>0.46</v>
      </c>
      <c r="AJ400" s="45">
        <f t="shared" si="129"/>
        <v>76016.719302918005</v>
      </c>
      <c r="AK400" s="45">
        <f t="shared" si="129"/>
        <v>307647.26034390659</v>
      </c>
      <c r="AL400" s="47">
        <f t="shared" si="130"/>
        <v>0.51</v>
      </c>
      <c r="AM400" s="47">
        <f t="shared" si="130"/>
        <v>0.55000000000000004</v>
      </c>
      <c r="AN400" s="83">
        <f>IFERROR(INDEX('Fee Calc'!P:P,MATCH(C400,'Fee Calc'!F:F,0)),0)</f>
        <v>460145.13192498439</v>
      </c>
      <c r="AO400" s="83">
        <f>IFERROR(INDEX('Fee Calc'!Q:Q,MATCH(C400,'Fee Calc'!F:F,0)),0)</f>
        <v>28613.621375233808</v>
      </c>
      <c r="AP400" s="83">
        <f t="shared" si="131"/>
        <v>488758.7533002182</v>
      </c>
      <c r="AQ400" s="70">
        <f t="shared" si="132"/>
        <v>208715.62793929881</v>
      </c>
      <c r="AR400" s="70">
        <f t="shared" si="133"/>
        <v>104357.8139696494</v>
      </c>
      <c r="AS400" s="70">
        <f t="shared" si="134"/>
        <v>104357.8139696494</v>
      </c>
    </row>
    <row r="401" spans="1:45">
      <c r="A401" s="104" t="s">
        <v>2332</v>
      </c>
      <c r="B401" s="124" t="s">
        <v>2332</v>
      </c>
      <c r="C401" s="31" t="s">
        <v>2285</v>
      </c>
      <c r="D401" s="125" t="s">
        <v>2285</v>
      </c>
      <c r="E401" s="119" t="s">
        <v>2944</v>
      </c>
      <c r="F401" s="100" t="s">
        <v>2279</v>
      </c>
      <c r="G401" s="100" t="s">
        <v>1550</v>
      </c>
      <c r="H401" s="43" t="str">
        <f t="shared" si="117"/>
        <v>Urban Jefferson</v>
      </c>
      <c r="I401" s="45">
        <f>INDEX('Fee Calc'!M:M,MATCH(C:C,'Fee Calc'!F:F,0))</f>
        <v>767784.78342539701</v>
      </c>
      <c r="J401" s="45">
        <f>INDEX('Fee Calc'!L:L,MATCH(C:C,'Fee Calc'!F:F,0))</f>
        <v>876912.6145531158</v>
      </c>
      <c r="K401" s="45">
        <f t="shared" si="118"/>
        <v>1644697.3979785128</v>
      </c>
      <c r="L401" s="45">
        <v>879454.22</v>
      </c>
      <c r="M401" s="45">
        <v>1014177.79</v>
      </c>
      <c r="N401" s="45">
        <f t="shared" si="119"/>
        <v>1893632.01</v>
      </c>
      <c r="O401" s="45">
        <v>1301205.3215398819</v>
      </c>
      <c r="P401" s="45">
        <v>1359998.2428177192</v>
      </c>
      <c r="Q401" s="45">
        <f t="shared" si="120"/>
        <v>2661203.5643576011</v>
      </c>
      <c r="R401" s="45" t="str">
        <f t="shared" si="121"/>
        <v>Yes</v>
      </c>
      <c r="S401" s="46" t="str">
        <f t="shared" si="121"/>
        <v>Yes</v>
      </c>
      <c r="T401" s="47">
        <f>ROUND(INDEX(Summary!H:H,MATCH(H:H,Summary!A:A,0)),2)</f>
        <v>0.72</v>
      </c>
      <c r="U401" s="47">
        <f>ROUND(INDEX(Summary!I:I,MATCH(H:H,Summary!A:A,0)),2)</f>
        <v>0.85</v>
      </c>
      <c r="V401" s="81">
        <f t="shared" si="122"/>
        <v>552805.04406628583</v>
      </c>
      <c r="W401" s="81">
        <f t="shared" si="122"/>
        <v>745375.7223701484</v>
      </c>
      <c r="X401" s="45">
        <f t="shared" si="123"/>
        <v>1298180.7664364344</v>
      </c>
      <c r="Y401" s="45" t="s">
        <v>2752</v>
      </c>
      <c r="Z401" s="45" t="str">
        <f t="shared" si="124"/>
        <v>Yes</v>
      </c>
      <c r="AA401" s="45" t="str">
        <f t="shared" si="124"/>
        <v>Yes</v>
      </c>
      <c r="AB401" s="45" t="str">
        <f t="shared" si="125"/>
        <v>Yes</v>
      </c>
      <c r="AC401" s="82">
        <f t="shared" si="126"/>
        <v>0.68</v>
      </c>
      <c r="AD401" s="82">
        <f t="shared" si="126"/>
        <v>0.49</v>
      </c>
      <c r="AE401" s="45">
        <f t="shared" si="127"/>
        <v>522093.65272926999</v>
      </c>
      <c r="AF401" s="45">
        <f t="shared" si="127"/>
        <v>429687.18113102671</v>
      </c>
      <c r="AG401" s="45">
        <f t="shared" si="128"/>
        <v>951780.83386029676</v>
      </c>
      <c r="AH401" s="47">
        <f>IFERROR(ROUNDDOWN(INDEX('90% of ACR'!K:K,MATCH(H:H,'90% of ACR'!A:A,0))*IF(I401&gt;0,IF(O401&gt;0,$R$4*MAX(O401-V401,0),0),0)/I401,2),0)</f>
        <v>0.67</v>
      </c>
      <c r="AI401" s="82">
        <f>IFERROR(ROUNDDOWN(INDEX('90% of ACR'!R:R,MATCH(H:H,'90% of ACR'!A:A,0))*IF(J401&gt;0,IF(P401&gt;0,$R$4*MAX(P401-W401,0),0),0)/J401,2),0)</f>
        <v>0.42</v>
      </c>
      <c r="AJ401" s="45">
        <f t="shared" si="129"/>
        <v>514415.80489501602</v>
      </c>
      <c r="AK401" s="45">
        <f t="shared" si="129"/>
        <v>368303.29811230861</v>
      </c>
      <c r="AL401" s="47">
        <f t="shared" si="130"/>
        <v>1.3900000000000001</v>
      </c>
      <c r="AM401" s="47">
        <f t="shared" si="130"/>
        <v>1.27</v>
      </c>
      <c r="AN401" s="83">
        <f>IFERROR(INDEX('Fee Calc'!P:P,MATCH(C401,'Fee Calc'!F:F,0)),0)</f>
        <v>2180899.8694437589</v>
      </c>
      <c r="AO401" s="83">
        <f>IFERROR(INDEX('Fee Calc'!Q:Q,MATCH(C401,'Fee Calc'!F:F,0)),0)</f>
        <v>136490.28660585033</v>
      </c>
      <c r="AP401" s="83">
        <f t="shared" si="131"/>
        <v>2317390.1560496092</v>
      </c>
      <c r="AQ401" s="70">
        <f t="shared" si="132"/>
        <v>989599.75311817671</v>
      </c>
      <c r="AR401" s="70">
        <f t="shared" si="133"/>
        <v>494799.87655908836</v>
      </c>
      <c r="AS401" s="70">
        <f t="shared" si="134"/>
        <v>494799.87655908836</v>
      </c>
    </row>
    <row r="402" spans="1:45">
      <c r="A402" s="104" t="s">
        <v>1557</v>
      </c>
      <c r="B402" s="124" t="s">
        <v>1557</v>
      </c>
      <c r="C402" s="31" t="s">
        <v>1643</v>
      </c>
      <c r="D402" s="125" t="s">
        <v>1643</v>
      </c>
      <c r="E402" s="119" t="s">
        <v>2434</v>
      </c>
      <c r="F402" s="100" t="s">
        <v>2291</v>
      </c>
      <c r="G402" s="100" t="s">
        <v>310</v>
      </c>
      <c r="H402" s="43" t="str">
        <f t="shared" si="117"/>
        <v>Rural MRSA Northeast</v>
      </c>
      <c r="I402" s="45">
        <f>INDEX('Fee Calc'!M:M,MATCH(C:C,'Fee Calc'!F:F,0))</f>
        <v>4368254.236015074</v>
      </c>
      <c r="J402" s="45">
        <f>INDEX('Fee Calc'!L:L,MATCH(C:C,'Fee Calc'!F:F,0))</f>
        <v>2132367.4175665928</v>
      </c>
      <c r="K402" s="45">
        <f t="shared" si="118"/>
        <v>6500621.6535816668</v>
      </c>
      <c r="L402" s="45">
        <v>298060.65999999997</v>
      </c>
      <c r="M402" s="45">
        <v>1087135.1299999999</v>
      </c>
      <c r="N402" s="45">
        <f t="shared" si="119"/>
        <v>1385195.7899999998</v>
      </c>
      <c r="O402" s="45">
        <v>1073872.5958561846</v>
      </c>
      <c r="P402" s="45">
        <v>2725087.5639915881</v>
      </c>
      <c r="Q402" s="45">
        <f t="shared" si="120"/>
        <v>3798960.1598477727</v>
      </c>
      <c r="R402" s="45" t="str">
        <f t="shared" si="121"/>
        <v>Yes</v>
      </c>
      <c r="S402" s="46" t="str">
        <f t="shared" si="121"/>
        <v>Yes</v>
      </c>
      <c r="T402" s="47">
        <f>ROUND(INDEX(Summary!H:H,MATCH(H:H,Summary!A:A,0)),2)</f>
        <v>0</v>
      </c>
      <c r="U402" s="47">
        <f>ROUND(INDEX(Summary!I:I,MATCH(H:H,Summary!A:A,0)),2)</f>
        <v>0.3</v>
      </c>
      <c r="V402" s="81">
        <f t="shared" si="122"/>
        <v>0</v>
      </c>
      <c r="W402" s="81">
        <f t="shared" si="122"/>
        <v>639710.22526997782</v>
      </c>
      <c r="X402" s="45">
        <f t="shared" si="123"/>
        <v>639710.22526997782</v>
      </c>
      <c r="Y402" s="45" t="s">
        <v>2752</v>
      </c>
      <c r="Z402" s="45" t="str">
        <f t="shared" si="124"/>
        <v>Yes</v>
      </c>
      <c r="AA402" s="45" t="str">
        <f t="shared" si="124"/>
        <v>Yes</v>
      </c>
      <c r="AB402" s="45" t="str">
        <f t="shared" si="125"/>
        <v>Yes</v>
      </c>
      <c r="AC402" s="82">
        <f t="shared" si="126"/>
        <v>0.17</v>
      </c>
      <c r="AD402" s="82">
        <f t="shared" si="126"/>
        <v>0.68</v>
      </c>
      <c r="AE402" s="45">
        <f t="shared" si="127"/>
        <v>742603.2201225626</v>
      </c>
      <c r="AF402" s="45">
        <f t="shared" si="127"/>
        <v>1450009.8439452832</v>
      </c>
      <c r="AG402" s="45">
        <f t="shared" si="128"/>
        <v>2192613.0640678457</v>
      </c>
      <c r="AH402" s="47">
        <f>IFERROR(ROUNDDOWN(INDEX('90% of ACR'!K:K,MATCH(H:H,'90% of ACR'!A:A,0))*IF(I402&gt;0,IF(O402&gt;0,$R$4*MAX(O402-V402,0),0),0)/I402,2),0)</f>
        <v>0.11</v>
      </c>
      <c r="AI402" s="82">
        <f>IFERROR(ROUNDDOWN(INDEX('90% of ACR'!R:R,MATCH(H:H,'90% of ACR'!A:A,0))*IF(J402&gt;0,IF(P402&gt;0,$R$4*MAX(P402-W402,0),0),0)/J402,2),0)</f>
        <v>0.68</v>
      </c>
      <c r="AJ402" s="45">
        <f t="shared" si="129"/>
        <v>480507.96596165816</v>
      </c>
      <c r="AK402" s="45">
        <f t="shared" si="129"/>
        <v>1450009.8439452832</v>
      </c>
      <c r="AL402" s="47">
        <f t="shared" si="130"/>
        <v>0.11</v>
      </c>
      <c r="AM402" s="47">
        <f t="shared" si="130"/>
        <v>0.98</v>
      </c>
      <c r="AN402" s="83">
        <f>IFERROR(INDEX('Fee Calc'!P:P,MATCH(C402,'Fee Calc'!F:F,0)),0)</f>
        <v>2570228.0351769188</v>
      </c>
      <c r="AO402" s="83">
        <f>IFERROR(INDEX('Fee Calc'!Q:Q,MATCH(C402,'Fee Calc'!F:F,0)),0)</f>
        <v>157806.97793555257</v>
      </c>
      <c r="AP402" s="83">
        <f t="shared" si="131"/>
        <v>2728035.0131124714</v>
      </c>
      <c r="AQ402" s="70">
        <f t="shared" si="132"/>
        <v>1164958.247719445</v>
      </c>
      <c r="AR402" s="70">
        <f t="shared" si="133"/>
        <v>582479.12385972252</v>
      </c>
      <c r="AS402" s="70">
        <f t="shared" si="134"/>
        <v>582479.12385972252</v>
      </c>
    </row>
    <row r="403" spans="1:45">
      <c r="A403" s="104" t="s">
        <v>158</v>
      </c>
      <c r="B403" s="124" t="s">
        <v>159</v>
      </c>
      <c r="C403" s="31" t="s">
        <v>160</v>
      </c>
      <c r="D403" s="125" t="s">
        <v>160</v>
      </c>
      <c r="E403" s="119" t="s">
        <v>2945</v>
      </c>
      <c r="F403" s="100" t="s">
        <v>2291</v>
      </c>
      <c r="G403" s="100" t="s">
        <v>1486</v>
      </c>
      <c r="H403" s="43" t="str">
        <f t="shared" si="117"/>
        <v>Rural MRSA Central</v>
      </c>
      <c r="I403" s="45">
        <f>INDEX('Fee Calc'!M:M,MATCH(C:C,'Fee Calc'!F:F,0))</f>
        <v>348940.50305676111</v>
      </c>
      <c r="J403" s="45">
        <f>INDEX('Fee Calc'!L:L,MATCH(C:C,'Fee Calc'!F:F,0))</f>
        <v>528271.08157458098</v>
      </c>
      <c r="K403" s="45">
        <f t="shared" si="118"/>
        <v>877211.58463134209</v>
      </c>
      <c r="L403" s="45">
        <v>96249.54</v>
      </c>
      <c r="M403" s="45">
        <v>-102852.17</v>
      </c>
      <c r="N403" s="45">
        <f t="shared" si="119"/>
        <v>-6602.6300000000047</v>
      </c>
      <c r="O403" s="45">
        <v>56803.709752067254</v>
      </c>
      <c r="P403" s="45">
        <v>185767.43071790042</v>
      </c>
      <c r="Q403" s="45">
        <f t="shared" si="120"/>
        <v>242571.14046996768</v>
      </c>
      <c r="R403" s="45" t="str">
        <f t="shared" si="121"/>
        <v>Yes</v>
      </c>
      <c r="S403" s="46" t="str">
        <f t="shared" si="121"/>
        <v>Yes</v>
      </c>
      <c r="T403" s="47">
        <f>ROUND(INDEX(Summary!H:H,MATCH(H:H,Summary!A:A,0)),2)</f>
        <v>0.09</v>
      </c>
      <c r="U403" s="47">
        <f>ROUND(INDEX(Summary!I:I,MATCH(H:H,Summary!A:A,0)),2)</f>
        <v>0.09</v>
      </c>
      <c r="V403" s="81">
        <f t="shared" si="122"/>
        <v>31404.645275108498</v>
      </c>
      <c r="W403" s="81">
        <f t="shared" si="122"/>
        <v>47544.397341712283</v>
      </c>
      <c r="X403" s="45">
        <f t="shared" si="123"/>
        <v>78949.042616820778</v>
      </c>
      <c r="Y403" s="45" t="s">
        <v>2752</v>
      </c>
      <c r="Z403" s="45" t="str">
        <f t="shared" si="124"/>
        <v>Yes</v>
      </c>
      <c r="AA403" s="45" t="str">
        <f t="shared" si="124"/>
        <v>Yes</v>
      </c>
      <c r="AB403" s="45" t="str">
        <f t="shared" si="125"/>
        <v>Yes</v>
      </c>
      <c r="AC403" s="82">
        <f t="shared" si="126"/>
        <v>0.05</v>
      </c>
      <c r="AD403" s="82">
        <f t="shared" si="126"/>
        <v>0.18</v>
      </c>
      <c r="AE403" s="45">
        <f t="shared" si="127"/>
        <v>17447.025152838058</v>
      </c>
      <c r="AF403" s="45">
        <f t="shared" si="127"/>
        <v>95088.794683424567</v>
      </c>
      <c r="AG403" s="45">
        <f t="shared" si="128"/>
        <v>112535.81983626263</v>
      </c>
      <c r="AH403" s="47">
        <f>IFERROR(ROUNDDOWN(INDEX('90% of ACR'!K:K,MATCH(H:H,'90% of ACR'!A:A,0))*IF(I403&gt;0,IF(O403&gt;0,$R$4*MAX(O403-V403,0),0),0)/I403,2),0)</f>
        <v>0.02</v>
      </c>
      <c r="AI403" s="82">
        <f>IFERROR(ROUNDDOWN(INDEX('90% of ACR'!R:R,MATCH(H:H,'90% of ACR'!A:A,0))*IF(J403&gt;0,IF(P403&gt;0,$R$4*MAX(P403-W403,0),0),0)/J403,2),0)</f>
        <v>0.18</v>
      </c>
      <c r="AJ403" s="45">
        <f t="shared" si="129"/>
        <v>6978.810061135222</v>
      </c>
      <c r="AK403" s="45">
        <f t="shared" si="129"/>
        <v>95088.794683424567</v>
      </c>
      <c r="AL403" s="47">
        <f t="shared" si="130"/>
        <v>0.11</v>
      </c>
      <c r="AM403" s="47">
        <f t="shared" si="130"/>
        <v>0.27</v>
      </c>
      <c r="AN403" s="83">
        <f>IFERROR(INDEX('Fee Calc'!P:P,MATCH(C403,'Fee Calc'!F:F,0)),0)</f>
        <v>181016.6473613806</v>
      </c>
      <c r="AO403" s="83">
        <f>IFERROR(INDEX('Fee Calc'!Q:Q,MATCH(C403,'Fee Calc'!F:F,0)),0)</f>
        <v>11223.922093209892</v>
      </c>
      <c r="AP403" s="83">
        <f t="shared" si="131"/>
        <v>192240.5694545905</v>
      </c>
      <c r="AQ403" s="70">
        <f t="shared" si="132"/>
        <v>82092.874855332688</v>
      </c>
      <c r="AR403" s="70">
        <f t="shared" si="133"/>
        <v>41046.437427666344</v>
      </c>
      <c r="AS403" s="70">
        <f t="shared" si="134"/>
        <v>41046.437427666344</v>
      </c>
    </row>
    <row r="404" spans="1:45">
      <c r="A404" s="104" t="s">
        <v>1152</v>
      </c>
      <c r="B404" s="124" t="s">
        <v>1152</v>
      </c>
      <c r="C404" s="31" t="s">
        <v>1153</v>
      </c>
      <c r="D404" s="125" t="s">
        <v>1153</v>
      </c>
      <c r="E404" s="119" t="s">
        <v>2431</v>
      </c>
      <c r="F404" s="100" t="s">
        <v>2279</v>
      </c>
      <c r="G404" s="100" t="s">
        <v>1526</v>
      </c>
      <c r="H404" s="43" t="str">
        <f t="shared" si="117"/>
        <v>Urban Lubbock</v>
      </c>
      <c r="I404" s="45">
        <f>INDEX('Fee Calc'!M:M,MATCH(C:C,'Fee Calc'!F:F,0))</f>
        <v>33160101.293437399</v>
      </c>
      <c r="J404" s="45">
        <f>INDEX('Fee Calc'!L:L,MATCH(C:C,'Fee Calc'!F:F,0))</f>
        <v>14024158.171815805</v>
      </c>
      <c r="K404" s="45">
        <f t="shared" si="118"/>
        <v>47184259.465253204</v>
      </c>
      <c r="L404" s="45">
        <v>-46584639.649999999</v>
      </c>
      <c r="M404" s="45">
        <v>9064291.2100000009</v>
      </c>
      <c r="N404" s="45">
        <f t="shared" si="119"/>
        <v>-37520348.439999998</v>
      </c>
      <c r="O404" s="45">
        <v>-26948733.551299863</v>
      </c>
      <c r="P404" s="45">
        <v>21089081.798948411</v>
      </c>
      <c r="Q404" s="45">
        <f t="shared" si="120"/>
        <v>-5859651.7523514517</v>
      </c>
      <c r="R404" s="45" t="str">
        <f t="shared" si="121"/>
        <v>No</v>
      </c>
      <c r="S404" s="46" t="str">
        <f t="shared" si="121"/>
        <v>Yes</v>
      </c>
      <c r="T404" s="47">
        <f>ROUND(INDEX(Summary!H:H,MATCH(H:H,Summary!A:A,0)),2)</f>
        <v>0</v>
      </c>
      <c r="U404" s="47">
        <f>ROUND(INDEX(Summary!I:I,MATCH(H:H,Summary!A:A,0)),2)</f>
        <v>0.61</v>
      </c>
      <c r="V404" s="81">
        <f t="shared" si="122"/>
        <v>0</v>
      </c>
      <c r="W404" s="81">
        <f t="shared" si="122"/>
        <v>8554736.4848076403</v>
      </c>
      <c r="X404" s="45">
        <f t="shared" si="123"/>
        <v>8554736.4848076403</v>
      </c>
      <c r="Y404" s="45" t="s">
        <v>2752</v>
      </c>
      <c r="Z404" s="45" t="str">
        <f t="shared" si="124"/>
        <v>No</v>
      </c>
      <c r="AA404" s="45" t="str">
        <f t="shared" si="124"/>
        <v>Yes</v>
      </c>
      <c r="AB404" s="45" t="str">
        <f t="shared" si="125"/>
        <v>Yes</v>
      </c>
      <c r="AC404" s="82">
        <f t="shared" si="126"/>
        <v>0</v>
      </c>
      <c r="AD404" s="82">
        <f t="shared" si="126"/>
        <v>0.62</v>
      </c>
      <c r="AE404" s="45">
        <f t="shared" si="127"/>
        <v>0</v>
      </c>
      <c r="AF404" s="45">
        <f t="shared" si="127"/>
        <v>8694978.0665257983</v>
      </c>
      <c r="AG404" s="45">
        <f t="shared" si="128"/>
        <v>8694978.0665257983</v>
      </c>
      <c r="AH404" s="47">
        <f>IFERROR(ROUNDDOWN(INDEX('90% of ACR'!K:K,MATCH(H:H,'90% of ACR'!A:A,0))*IF(I404&gt;0,IF(O404&gt;0,$R$4*MAX(O404-V404,0),0),0)/I404,2),0)</f>
        <v>0</v>
      </c>
      <c r="AI404" s="82">
        <f>IFERROR(ROUNDDOWN(INDEX('90% of ACR'!R:R,MATCH(H:H,'90% of ACR'!A:A,0))*IF(J404&gt;0,IF(P404&gt;0,$R$4*MAX(P404-W404,0),0),0)/J404,2),0)</f>
        <v>0.56000000000000005</v>
      </c>
      <c r="AJ404" s="45">
        <f t="shared" si="129"/>
        <v>0</v>
      </c>
      <c r="AK404" s="45">
        <f t="shared" si="129"/>
        <v>7853528.5762168514</v>
      </c>
      <c r="AL404" s="47">
        <f t="shared" si="130"/>
        <v>0</v>
      </c>
      <c r="AM404" s="47">
        <f t="shared" si="130"/>
        <v>1.17</v>
      </c>
      <c r="AN404" s="83">
        <f>IFERROR(INDEX('Fee Calc'!P:P,MATCH(C404,'Fee Calc'!F:F,0)),0)</f>
        <v>16408265.061024491</v>
      </c>
      <c r="AO404" s="83">
        <f>IFERROR(INDEX('Fee Calc'!Q:Q,MATCH(C404,'Fee Calc'!F:F,0)),0)</f>
        <v>1018524.1363627728</v>
      </c>
      <c r="AP404" s="83">
        <f t="shared" si="131"/>
        <v>17426789.197387263</v>
      </c>
      <c r="AQ404" s="70">
        <f t="shared" si="132"/>
        <v>7441796.6445386782</v>
      </c>
      <c r="AR404" s="70">
        <f t="shared" si="133"/>
        <v>3720898.3222693391</v>
      </c>
      <c r="AS404" s="70">
        <f t="shared" si="134"/>
        <v>3720898.3222693391</v>
      </c>
    </row>
    <row r="405" spans="1:45">
      <c r="A405" s="104" t="s">
        <v>941</v>
      </c>
      <c r="B405" s="124" t="s">
        <v>941</v>
      </c>
      <c r="C405" s="31" t="s">
        <v>942</v>
      </c>
      <c r="D405" s="125" t="s">
        <v>942</v>
      </c>
      <c r="E405" s="119" t="s">
        <v>2682</v>
      </c>
      <c r="F405" s="100" t="s">
        <v>2291</v>
      </c>
      <c r="G405" s="100" t="s">
        <v>227</v>
      </c>
      <c r="H405" s="43" t="str">
        <f t="shared" si="117"/>
        <v>Rural MRSA West</v>
      </c>
      <c r="I405" s="45">
        <f>INDEX('Fee Calc'!M:M,MATCH(C:C,'Fee Calc'!F:F,0))</f>
        <v>591158.19075507263</v>
      </c>
      <c r="J405" s="45">
        <f>INDEX('Fee Calc'!L:L,MATCH(C:C,'Fee Calc'!F:F,0))</f>
        <v>347380.68838509102</v>
      </c>
      <c r="K405" s="45">
        <f t="shared" si="118"/>
        <v>938538.87914016366</v>
      </c>
      <c r="L405" s="45">
        <v>308430.28999999998</v>
      </c>
      <c r="M405" s="45">
        <v>-20063.990000000002</v>
      </c>
      <c r="N405" s="45">
        <f t="shared" si="119"/>
        <v>288366.3</v>
      </c>
      <c r="O405" s="45">
        <v>-43563.109845064493</v>
      </c>
      <c r="P405" s="45">
        <v>80680.914763817826</v>
      </c>
      <c r="Q405" s="45">
        <f t="shared" si="120"/>
        <v>37117.804918753332</v>
      </c>
      <c r="R405" s="45" t="str">
        <f t="shared" si="121"/>
        <v>No</v>
      </c>
      <c r="S405" s="46" t="str">
        <f t="shared" si="121"/>
        <v>Yes</v>
      </c>
      <c r="T405" s="47">
        <f>ROUND(INDEX(Summary!H:H,MATCH(H:H,Summary!A:A,0)),2)</f>
        <v>0</v>
      </c>
      <c r="U405" s="47">
        <f>ROUND(INDEX(Summary!I:I,MATCH(H:H,Summary!A:A,0)),2)</f>
        <v>0.2</v>
      </c>
      <c r="V405" s="81">
        <f t="shared" si="122"/>
        <v>0</v>
      </c>
      <c r="W405" s="81">
        <f t="shared" si="122"/>
        <v>69476.137677018211</v>
      </c>
      <c r="X405" s="45">
        <f t="shared" si="123"/>
        <v>69476.137677018211</v>
      </c>
      <c r="Y405" s="45" t="s">
        <v>2752</v>
      </c>
      <c r="Z405" s="45" t="str">
        <f t="shared" si="124"/>
        <v>No</v>
      </c>
      <c r="AA405" s="45" t="str">
        <f t="shared" si="124"/>
        <v>Yes</v>
      </c>
      <c r="AB405" s="45" t="str">
        <f t="shared" si="125"/>
        <v>Yes</v>
      </c>
      <c r="AC405" s="82">
        <f t="shared" si="126"/>
        <v>0</v>
      </c>
      <c r="AD405" s="82">
        <f t="shared" si="126"/>
        <v>0.02</v>
      </c>
      <c r="AE405" s="45">
        <f t="shared" si="127"/>
        <v>0</v>
      </c>
      <c r="AF405" s="45">
        <f t="shared" si="127"/>
        <v>6947.6137677018205</v>
      </c>
      <c r="AG405" s="45">
        <f t="shared" si="128"/>
        <v>6947.6137677018205</v>
      </c>
      <c r="AH405" s="47">
        <f>IFERROR(ROUNDDOWN(INDEX('90% of ACR'!K:K,MATCH(H:H,'90% of ACR'!A:A,0))*IF(I405&gt;0,IF(O405&gt;0,$R$4*MAX(O405-V405,0),0),0)/I405,2),0)</f>
        <v>0</v>
      </c>
      <c r="AI405" s="82">
        <f>IFERROR(ROUNDDOWN(INDEX('90% of ACR'!R:R,MATCH(H:H,'90% of ACR'!A:A,0))*IF(J405&gt;0,IF(P405&gt;0,$R$4*MAX(P405-W405,0),0),0)/J405,2),0)</f>
        <v>0.01</v>
      </c>
      <c r="AJ405" s="45">
        <f t="shared" si="129"/>
        <v>0</v>
      </c>
      <c r="AK405" s="45">
        <f t="shared" si="129"/>
        <v>3473.8068838509103</v>
      </c>
      <c r="AL405" s="47">
        <f t="shared" si="130"/>
        <v>0</v>
      </c>
      <c r="AM405" s="47">
        <f t="shared" si="130"/>
        <v>0.21000000000000002</v>
      </c>
      <c r="AN405" s="83">
        <f>IFERROR(INDEX('Fee Calc'!P:P,MATCH(C405,'Fee Calc'!F:F,0)),0)</f>
        <v>72949.944560869117</v>
      </c>
      <c r="AO405" s="83">
        <f>IFERROR(INDEX('Fee Calc'!Q:Q,MATCH(C405,'Fee Calc'!F:F,0)),0)</f>
        <v>4476.6235304461925</v>
      </c>
      <c r="AP405" s="83">
        <f t="shared" si="131"/>
        <v>77426.568091315305</v>
      </c>
      <c r="AQ405" s="70">
        <f t="shared" si="132"/>
        <v>33063.622225170562</v>
      </c>
      <c r="AR405" s="70">
        <f t="shared" si="133"/>
        <v>16531.811112585281</v>
      </c>
      <c r="AS405" s="70">
        <f t="shared" si="134"/>
        <v>16531.811112585281</v>
      </c>
    </row>
    <row r="406" spans="1:45">
      <c r="A406" s="104" t="s">
        <v>1122</v>
      </c>
      <c r="B406" s="124" t="s">
        <v>1122</v>
      </c>
      <c r="C406" s="31" t="s">
        <v>1123</v>
      </c>
      <c r="D406" s="125" t="s">
        <v>1123</v>
      </c>
      <c r="E406" s="119" t="s">
        <v>2946</v>
      </c>
      <c r="F406" s="100" t="s">
        <v>2291</v>
      </c>
      <c r="G406" s="100" t="s">
        <v>310</v>
      </c>
      <c r="H406" s="43" t="str">
        <f t="shared" si="117"/>
        <v>Rural MRSA Northeast</v>
      </c>
      <c r="I406" s="45">
        <f>INDEX('Fee Calc'!M:M,MATCH(C:C,'Fee Calc'!F:F,0))</f>
        <v>5361347.1082665091</v>
      </c>
      <c r="J406" s="45">
        <f>INDEX('Fee Calc'!L:L,MATCH(C:C,'Fee Calc'!F:F,0))</f>
        <v>2276713.3100229637</v>
      </c>
      <c r="K406" s="45">
        <f t="shared" si="118"/>
        <v>7638060.4182894733</v>
      </c>
      <c r="L406" s="45">
        <v>-931242.48</v>
      </c>
      <c r="M406" s="45">
        <v>486440.13</v>
      </c>
      <c r="N406" s="45">
        <f t="shared" si="119"/>
        <v>-444802.35</v>
      </c>
      <c r="O406" s="45">
        <v>-1182527.4717833078</v>
      </c>
      <c r="P406" s="45">
        <v>733316.25974011689</v>
      </c>
      <c r="Q406" s="45">
        <f t="shared" si="120"/>
        <v>-449211.21204319096</v>
      </c>
      <c r="R406" s="45" t="str">
        <f t="shared" si="121"/>
        <v>No</v>
      </c>
      <c r="S406" s="46" t="str">
        <f t="shared" si="121"/>
        <v>Yes</v>
      </c>
      <c r="T406" s="47">
        <f>ROUND(INDEX(Summary!H:H,MATCH(H:H,Summary!A:A,0)),2)</f>
        <v>0</v>
      </c>
      <c r="U406" s="47">
        <f>ROUND(INDEX(Summary!I:I,MATCH(H:H,Summary!A:A,0)),2)</f>
        <v>0.3</v>
      </c>
      <c r="V406" s="81">
        <f t="shared" si="122"/>
        <v>0</v>
      </c>
      <c r="W406" s="81">
        <f t="shared" si="122"/>
        <v>683013.99300688913</v>
      </c>
      <c r="X406" s="45">
        <f t="shared" si="123"/>
        <v>683013.99300688913</v>
      </c>
      <c r="Y406" s="45" t="s">
        <v>2752</v>
      </c>
      <c r="Z406" s="45" t="str">
        <f t="shared" si="124"/>
        <v>No</v>
      </c>
      <c r="AA406" s="45" t="str">
        <f t="shared" si="124"/>
        <v>Yes</v>
      </c>
      <c r="AB406" s="45" t="str">
        <f t="shared" si="125"/>
        <v>Yes</v>
      </c>
      <c r="AC406" s="82">
        <f t="shared" si="126"/>
        <v>0</v>
      </c>
      <c r="AD406" s="82">
        <f t="shared" si="126"/>
        <v>0.02</v>
      </c>
      <c r="AE406" s="45">
        <f t="shared" si="127"/>
        <v>0</v>
      </c>
      <c r="AF406" s="45">
        <f t="shared" si="127"/>
        <v>45534.266200459271</v>
      </c>
      <c r="AG406" s="45">
        <f t="shared" si="128"/>
        <v>45534.266200459271</v>
      </c>
      <c r="AH406" s="47">
        <f>IFERROR(ROUNDDOWN(INDEX('90% of ACR'!K:K,MATCH(H:H,'90% of ACR'!A:A,0))*IF(I406&gt;0,IF(O406&gt;0,$R$4*MAX(O406-V406,0),0),0)/I406,2),0)</f>
        <v>0</v>
      </c>
      <c r="AI406" s="82">
        <f>IFERROR(ROUNDDOWN(INDEX('90% of ACR'!R:R,MATCH(H:H,'90% of ACR'!A:A,0))*IF(J406&gt;0,IF(P406&gt;0,$R$4*MAX(P406-W406,0),0),0)/J406,2),0)</f>
        <v>0.01</v>
      </c>
      <c r="AJ406" s="45">
        <f t="shared" si="129"/>
        <v>0</v>
      </c>
      <c r="AK406" s="45">
        <f t="shared" si="129"/>
        <v>22767.133100229636</v>
      </c>
      <c r="AL406" s="47">
        <f t="shared" si="130"/>
        <v>0</v>
      </c>
      <c r="AM406" s="47">
        <f t="shared" si="130"/>
        <v>0.31</v>
      </c>
      <c r="AN406" s="83">
        <f>IFERROR(INDEX('Fee Calc'!P:P,MATCH(C406,'Fee Calc'!F:F,0)),0)</f>
        <v>705781.12610711879</v>
      </c>
      <c r="AO406" s="83">
        <f>IFERROR(INDEX('Fee Calc'!Q:Q,MATCH(C406,'Fee Calc'!F:F,0)),0)</f>
        <v>43428.791548871726</v>
      </c>
      <c r="AP406" s="83">
        <f t="shared" si="131"/>
        <v>749209.91765599046</v>
      </c>
      <c r="AQ406" s="70">
        <f t="shared" si="132"/>
        <v>319936.60955647292</v>
      </c>
      <c r="AR406" s="70">
        <f t="shared" si="133"/>
        <v>159968.30477823646</v>
      </c>
      <c r="AS406" s="70">
        <f t="shared" si="134"/>
        <v>159968.30477823646</v>
      </c>
    </row>
    <row r="407" spans="1:45">
      <c r="A407" s="104" t="s">
        <v>1047</v>
      </c>
      <c r="B407" s="124" t="s">
        <v>1047</v>
      </c>
      <c r="C407" s="31" t="s">
        <v>1048</v>
      </c>
      <c r="D407" s="125" t="s">
        <v>1048</v>
      </c>
      <c r="E407" s="119" t="s">
        <v>2670</v>
      </c>
      <c r="F407" s="100" t="s">
        <v>2279</v>
      </c>
      <c r="G407" s="100" t="s">
        <v>300</v>
      </c>
      <c r="H407" s="43" t="str">
        <f t="shared" si="117"/>
        <v>Urban Harris</v>
      </c>
      <c r="I407" s="45">
        <f>INDEX('Fee Calc'!M:M,MATCH(C:C,'Fee Calc'!F:F,0))</f>
        <v>3608570.639757324</v>
      </c>
      <c r="J407" s="45">
        <f>INDEX('Fee Calc'!L:L,MATCH(C:C,'Fee Calc'!F:F,0))</f>
        <v>6187623.4857461676</v>
      </c>
      <c r="K407" s="45">
        <f t="shared" si="118"/>
        <v>9796194.1255034916</v>
      </c>
      <c r="L407" s="45">
        <v>3459264.42</v>
      </c>
      <c r="M407" s="45">
        <v>1359763.69</v>
      </c>
      <c r="N407" s="45">
        <f t="shared" si="119"/>
        <v>4819028.1099999994</v>
      </c>
      <c r="O407" s="45">
        <v>3080205.2702855049</v>
      </c>
      <c r="P407" s="45">
        <v>3206649.9251222955</v>
      </c>
      <c r="Q407" s="45">
        <f t="shared" si="120"/>
        <v>6286855.1954078004</v>
      </c>
      <c r="R407" s="45" t="str">
        <f t="shared" si="121"/>
        <v>Yes</v>
      </c>
      <c r="S407" s="46" t="str">
        <f t="shared" si="121"/>
        <v>Yes</v>
      </c>
      <c r="T407" s="47">
        <f>ROUND(INDEX(Summary!H:H,MATCH(H:H,Summary!A:A,0)),2)</f>
        <v>1.57</v>
      </c>
      <c r="U407" s="47">
        <f>ROUND(INDEX(Summary!I:I,MATCH(H:H,Summary!A:A,0)),2)</f>
        <v>0.3</v>
      </c>
      <c r="V407" s="81">
        <f t="shared" si="122"/>
        <v>5665455.9044189993</v>
      </c>
      <c r="W407" s="81">
        <f t="shared" si="122"/>
        <v>1856287.0457238501</v>
      </c>
      <c r="X407" s="45">
        <f t="shared" si="123"/>
        <v>7521742.9501428492</v>
      </c>
      <c r="Y407" s="45" t="s">
        <v>2752</v>
      </c>
      <c r="Z407" s="45" t="str">
        <f t="shared" si="124"/>
        <v>No</v>
      </c>
      <c r="AA407" s="45" t="str">
        <f t="shared" si="124"/>
        <v>Yes</v>
      </c>
      <c r="AB407" s="45" t="str">
        <f t="shared" si="125"/>
        <v>Yes</v>
      </c>
      <c r="AC407" s="82">
        <f t="shared" si="126"/>
        <v>0</v>
      </c>
      <c r="AD407" s="82">
        <f t="shared" si="126"/>
        <v>0.15</v>
      </c>
      <c r="AE407" s="45">
        <f t="shared" si="127"/>
        <v>0</v>
      </c>
      <c r="AF407" s="45">
        <f t="shared" si="127"/>
        <v>928143.52286192507</v>
      </c>
      <c r="AG407" s="45">
        <f t="shared" si="128"/>
        <v>928143.52286192507</v>
      </c>
      <c r="AH407" s="47">
        <f>IFERROR(ROUNDDOWN(INDEX('90% of ACR'!K:K,MATCH(H:H,'90% of ACR'!A:A,0))*IF(I407&gt;0,IF(O407&gt;0,$R$4*MAX(O407-V407,0),0),0)/I407,2),0)</f>
        <v>0</v>
      </c>
      <c r="AI407" s="82">
        <f>IFERROR(ROUNDDOWN(INDEX('90% of ACR'!R:R,MATCH(H:H,'90% of ACR'!A:A,0))*IF(J407&gt;0,IF(P407&gt;0,$R$4*MAX(P407-W407,0),0),0)/J407,2),0)</f>
        <v>0.14000000000000001</v>
      </c>
      <c r="AJ407" s="45">
        <f t="shared" si="129"/>
        <v>0</v>
      </c>
      <c r="AK407" s="45">
        <f t="shared" si="129"/>
        <v>866267.28800446354</v>
      </c>
      <c r="AL407" s="47">
        <f t="shared" si="130"/>
        <v>1.57</v>
      </c>
      <c r="AM407" s="47">
        <f t="shared" si="130"/>
        <v>0.44</v>
      </c>
      <c r="AN407" s="83">
        <f>IFERROR(INDEX('Fee Calc'!P:P,MATCH(C407,'Fee Calc'!F:F,0)),0)</f>
        <v>8388010.2381473128</v>
      </c>
      <c r="AO407" s="83">
        <f>IFERROR(INDEX('Fee Calc'!Q:Q,MATCH(C407,'Fee Calc'!F:F,0)),0)</f>
        <v>517668.23995798716</v>
      </c>
      <c r="AP407" s="83">
        <f t="shared" si="131"/>
        <v>8905678.4781052992</v>
      </c>
      <c r="AQ407" s="70">
        <f t="shared" si="132"/>
        <v>3803009.6918622619</v>
      </c>
      <c r="AR407" s="70">
        <f t="shared" si="133"/>
        <v>1901504.8459311309</v>
      </c>
      <c r="AS407" s="70">
        <f t="shared" si="134"/>
        <v>1901504.8459311309</v>
      </c>
    </row>
    <row r="408" spans="1:45">
      <c r="A408" s="104" t="s">
        <v>530</v>
      </c>
      <c r="B408" s="124" t="s">
        <v>530</v>
      </c>
      <c r="C408" s="31" t="s">
        <v>531</v>
      </c>
      <c r="D408" s="125" t="s">
        <v>531</v>
      </c>
      <c r="E408" s="119" t="s">
        <v>2595</v>
      </c>
      <c r="F408" s="100" t="s">
        <v>2291</v>
      </c>
      <c r="G408" s="100" t="s">
        <v>300</v>
      </c>
      <c r="H408" s="43" t="str">
        <f t="shared" si="117"/>
        <v>Rural Harris</v>
      </c>
      <c r="I408" s="45">
        <f>INDEX('Fee Calc'!M:M,MATCH(C:C,'Fee Calc'!F:F,0))</f>
        <v>7893.0272720951762</v>
      </c>
      <c r="J408" s="45">
        <f>INDEX('Fee Calc'!L:L,MATCH(C:C,'Fee Calc'!F:F,0))</f>
        <v>372166.74376681785</v>
      </c>
      <c r="K408" s="45">
        <f t="shared" si="118"/>
        <v>380059.77103891305</v>
      </c>
      <c r="L408" s="45">
        <v>15610.88</v>
      </c>
      <c r="M408" s="45">
        <v>106117.87</v>
      </c>
      <c r="N408" s="45">
        <f t="shared" si="119"/>
        <v>121728.75</v>
      </c>
      <c r="O408" s="45">
        <v>7803.9706368652969</v>
      </c>
      <c r="P408" s="45">
        <v>104629.97471161865</v>
      </c>
      <c r="Q408" s="45">
        <f t="shared" si="120"/>
        <v>112433.94534848395</v>
      </c>
      <c r="R408" s="45" t="str">
        <f t="shared" si="121"/>
        <v>Yes</v>
      </c>
      <c r="S408" s="46" t="str">
        <f t="shared" si="121"/>
        <v>Yes</v>
      </c>
      <c r="T408" s="47">
        <f>ROUND(INDEX(Summary!H:H,MATCH(H:H,Summary!A:A,0)),2)</f>
        <v>0.01</v>
      </c>
      <c r="U408" s="47">
        <f>ROUND(INDEX(Summary!I:I,MATCH(H:H,Summary!A:A,0)),2)</f>
        <v>0.28000000000000003</v>
      </c>
      <c r="V408" s="81">
        <f t="shared" si="122"/>
        <v>78.930272720951763</v>
      </c>
      <c r="W408" s="81">
        <f t="shared" si="122"/>
        <v>104206.68825470901</v>
      </c>
      <c r="X408" s="45">
        <f t="shared" si="123"/>
        <v>104285.61852742996</v>
      </c>
      <c r="Y408" s="45" t="s">
        <v>2752</v>
      </c>
      <c r="Z408" s="45" t="str">
        <f t="shared" si="124"/>
        <v>No</v>
      </c>
      <c r="AA408" s="45" t="str">
        <f t="shared" si="124"/>
        <v>No</v>
      </c>
      <c r="AB408" s="45" t="str">
        <f t="shared" si="125"/>
        <v>Yes</v>
      </c>
      <c r="AC408" s="82">
        <f t="shared" si="126"/>
        <v>0.68</v>
      </c>
      <c r="AD408" s="82">
        <f t="shared" si="126"/>
        <v>0</v>
      </c>
      <c r="AE408" s="45">
        <f t="shared" si="127"/>
        <v>5367.2585450247198</v>
      </c>
      <c r="AF408" s="45">
        <f t="shared" si="127"/>
        <v>0</v>
      </c>
      <c r="AG408" s="45">
        <f t="shared" si="128"/>
        <v>5367.2585450247198</v>
      </c>
      <c r="AH408" s="47">
        <f>IFERROR(ROUNDDOWN(INDEX('90% of ACR'!K:K,MATCH(H:H,'90% of ACR'!A:A,0))*IF(I408&gt;0,IF(O408&gt;0,$R$4*MAX(O408-V408,0),0),0)/I408,2),0)</f>
        <v>0</v>
      </c>
      <c r="AI408" s="82">
        <f>IFERROR(ROUNDDOWN(INDEX('90% of ACR'!R:R,MATCH(H:H,'90% of ACR'!A:A,0))*IF(J408&gt;0,IF(P408&gt;0,$R$4*MAX(P408-W408,0),0),0)/J408,2),0)</f>
        <v>0</v>
      </c>
      <c r="AJ408" s="45">
        <f t="shared" si="129"/>
        <v>0</v>
      </c>
      <c r="AK408" s="45">
        <f t="shared" si="129"/>
        <v>0</v>
      </c>
      <c r="AL408" s="47">
        <f t="shared" si="130"/>
        <v>0.01</v>
      </c>
      <c r="AM408" s="47">
        <f t="shared" si="130"/>
        <v>0.28000000000000003</v>
      </c>
      <c r="AN408" s="83">
        <f>IFERROR(INDEX('Fee Calc'!P:P,MATCH(C408,'Fee Calc'!F:F,0)),0)</f>
        <v>104285.61852742996</v>
      </c>
      <c r="AO408" s="83">
        <f>IFERROR(INDEX('Fee Calc'!Q:Q,MATCH(C408,'Fee Calc'!F:F,0)),0)</f>
        <v>6429.5182061941332</v>
      </c>
      <c r="AP408" s="83">
        <f t="shared" si="131"/>
        <v>110715.13673362409</v>
      </c>
      <c r="AQ408" s="70">
        <f t="shared" si="132"/>
        <v>47278.906269632964</v>
      </c>
      <c r="AR408" s="70">
        <f t="shared" si="133"/>
        <v>23639.453134816482</v>
      </c>
      <c r="AS408" s="70">
        <f t="shared" si="134"/>
        <v>23639.453134816482</v>
      </c>
    </row>
    <row r="409" spans="1:45" ht="25.5">
      <c r="A409" s="104" t="s">
        <v>1586</v>
      </c>
      <c r="B409" s="124" t="s">
        <v>1586</v>
      </c>
      <c r="C409" s="31" t="s">
        <v>1587</v>
      </c>
      <c r="D409" s="125" t="s">
        <v>1587</v>
      </c>
      <c r="E409" s="119" t="s">
        <v>2671</v>
      </c>
      <c r="F409" s="100" t="s">
        <v>2949</v>
      </c>
      <c r="G409" s="100" t="s">
        <v>310</v>
      </c>
      <c r="H409" s="43" t="str">
        <f t="shared" si="117"/>
        <v>State-owned non-IMD MRSA Northeast</v>
      </c>
      <c r="I409" s="45">
        <f>INDEX('Fee Calc'!M:M,MATCH(C:C,'Fee Calc'!F:F,0))</f>
        <v>639545.96282721986</v>
      </c>
      <c r="J409" s="45">
        <f>INDEX('Fee Calc'!L:L,MATCH(C:C,'Fee Calc'!F:F,0))</f>
        <v>3154756.2041887837</v>
      </c>
      <c r="K409" s="45">
        <f t="shared" si="118"/>
        <v>3794302.1670160033</v>
      </c>
      <c r="L409" s="45">
        <v>34741.65</v>
      </c>
      <c r="M409" s="45">
        <v>1877004.34</v>
      </c>
      <c r="N409" s="45">
        <f t="shared" si="119"/>
        <v>1911745.99</v>
      </c>
      <c r="O409" s="45">
        <v>88648.222188610991</v>
      </c>
      <c r="P409" s="45">
        <v>1426677.9002117133</v>
      </c>
      <c r="Q409" s="45">
        <f t="shared" si="120"/>
        <v>1515326.1224003243</v>
      </c>
      <c r="R409" s="45" t="str">
        <f t="shared" si="121"/>
        <v>Yes</v>
      </c>
      <c r="S409" s="46" t="str">
        <f t="shared" si="121"/>
        <v>Yes</v>
      </c>
      <c r="T409" s="47">
        <f>ROUND(INDEX(Summary!H:H,MATCH(H:H,Summary!A:A,0)),2)</f>
        <v>0.05</v>
      </c>
      <c r="U409" s="47">
        <f>ROUND(INDEX(Summary!I:I,MATCH(H:H,Summary!A:A,0)),2)</f>
        <v>0.59</v>
      </c>
      <c r="V409" s="81">
        <f t="shared" si="122"/>
        <v>31977.298141360996</v>
      </c>
      <c r="W409" s="81">
        <f t="shared" si="122"/>
        <v>1861306.1604713823</v>
      </c>
      <c r="X409" s="45">
        <f t="shared" si="123"/>
        <v>1893283.4586127433</v>
      </c>
      <c r="Y409" s="45" t="s">
        <v>2752</v>
      </c>
      <c r="Z409" s="45" t="str">
        <f t="shared" si="124"/>
        <v>No</v>
      </c>
      <c r="AA409" s="45" t="str">
        <f t="shared" si="124"/>
        <v>No</v>
      </c>
      <c r="AB409" s="45" t="str">
        <f t="shared" si="125"/>
        <v>Yes</v>
      </c>
      <c r="AC409" s="82">
        <f t="shared" si="126"/>
        <v>0.06</v>
      </c>
      <c r="AD409" s="82">
        <f t="shared" si="126"/>
        <v>0</v>
      </c>
      <c r="AE409" s="45">
        <f t="shared" si="127"/>
        <v>38372.757769633194</v>
      </c>
      <c r="AF409" s="45">
        <f t="shared" si="127"/>
        <v>0</v>
      </c>
      <c r="AG409" s="45">
        <f t="shared" si="128"/>
        <v>38372.757769633194</v>
      </c>
      <c r="AH409" s="47">
        <f>IFERROR(ROUNDDOWN(INDEX('90% of ACR'!K:K,MATCH(H:H,'90% of ACR'!A:A,0))*IF(I409&gt;0,IF(O409&gt;0,$R$4*MAX(O409-V409,0),0),0)/I409,2),0)</f>
        <v>0</v>
      </c>
      <c r="AI409" s="82">
        <f>IFERROR(ROUNDDOWN(INDEX('90% of ACR'!R:R,MATCH(H:H,'90% of ACR'!A:A,0))*IF(J409&gt;0,IF(P409&gt;0,$R$4*MAX(P409-W409,0),0),0)/J409,2),0)</f>
        <v>0</v>
      </c>
      <c r="AJ409" s="45">
        <f t="shared" si="129"/>
        <v>0</v>
      </c>
      <c r="AK409" s="45">
        <f t="shared" si="129"/>
        <v>0</v>
      </c>
      <c r="AL409" s="47">
        <f t="shared" si="130"/>
        <v>0.05</v>
      </c>
      <c r="AM409" s="47">
        <f t="shared" si="130"/>
        <v>0.59</v>
      </c>
      <c r="AN409" s="83">
        <f>IFERROR(INDEX('Fee Calc'!P:P,MATCH(C409,'Fee Calc'!F:F,0)),0)</f>
        <v>1893283.4586127433</v>
      </c>
      <c r="AO409" s="83">
        <f>IFERROR(INDEX('Fee Calc'!Q:Q,MATCH(C409,'Fee Calc'!F:F,0)),0)</f>
        <v>118471.35858605633</v>
      </c>
      <c r="AP409" s="83">
        <f t="shared" si="131"/>
        <v>2011754.8171987997</v>
      </c>
      <c r="AQ409" s="70">
        <f t="shared" si="132"/>
        <v>859083.68309803773</v>
      </c>
      <c r="AR409" s="70">
        <f t="shared" si="133"/>
        <v>429541.84154901886</v>
      </c>
      <c r="AS409" s="70">
        <f t="shared" si="134"/>
        <v>429541.84154901886</v>
      </c>
    </row>
    <row r="410" spans="1:45">
      <c r="A410" s="104" t="s">
        <v>716</v>
      </c>
      <c r="B410" s="124" t="s">
        <v>716</v>
      </c>
      <c r="C410" s="31" t="s">
        <v>717</v>
      </c>
      <c r="D410" s="125" t="s">
        <v>717</v>
      </c>
      <c r="E410" s="119" t="s">
        <v>2947</v>
      </c>
      <c r="F410" s="100" t="s">
        <v>2291</v>
      </c>
      <c r="G410" s="100" t="s">
        <v>227</v>
      </c>
      <c r="H410" s="43" t="str">
        <f t="shared" si="117"/>
        <v>Rural MRSA West</v>
      </c>
      <c r="I410" s="45">
        <f>INDEX('Fee Calc'!M:M,MATCH(C:C,'Fee Calc'!F:F,0))</f>
        <v>17908.036408285694</v>
      </c>
      <c r="J410" s="45">
        <f>INDEX('Fee Calc'!L:L,MATCH(C:C,'Fee Calc'!F:F,0))</f>
        <v>82609.105244788603</v>
      </c>
      <c r="K410" s="45">
        <f t="shared" si="118"/>
        <v>100517.1416530743</v>
      </c>
      <c r="L410" s="45">
        <v>0</v>
      </c>
      <c r="M410" s="45">
        <v>8719.86</v>
      </c>
      <c r="N410" s="45">
        <f t="shared" si="119"/>
        <v>8719.86</v>
      </c>
      <c r="O410" s="45">
        <v>0</v>
      </c>
      <c r="P410" s="45">
        <v>102.34282385780534</v>
      </c>
      <c r="Q410" s="45">
        <f t="shared" si="120"/>
        <v>102.34282385780534</v>
      </c>
      <c r="R410" s="45" t="str">
        <f t="shared" si="121"/>
        <v>No</v>
      </c>
      <c r="S410" s="46" t="str">
        <f t="shared" si="121"/>
        <v>Yes</v>
      </c>
      <c r="T410" s="47">
        <f>ROUND(INDEX(Summary!H:H,MATCH(H:H,Summary!A:A,0)),2)</f>
        <v>0</v>
      </c>
      <c r="U410" s="47">
        <f>ROUND(INDEX(Summary!I:I,MATCH(H:H,Summary!A:A,0)),2)</f>
        <v>0.2</v>
      </c>
      <c r="V410" s="81">
        <f t="shared" si="122"/>
        <v>0</v>
      </c>
      <c r="W410" s="81">
        <f t="shared" si="122"/>
        <v>16521.821048957721</v>
      </c>
      <c r="X410" s="45">
        <f t="shared" si="123"/>
        <v>16521.821048957721</v>
      </c>
      <c r="Y410" s="45" t="s">
        <v>2752</v>
      </c>
      <c r="Z410" s="45" t="str">
        <f t="shared" si="124"/>
        <v>No</v>
      </c>
      <c r="AA410" s="45" t="str">
        <f t="shared" si="124"/>
        <v>No</v>
      </c>
      <c r="AB410" s="45" t="str">
        <f t="shared" si="125"/>
        <v>No</v>
      </c>
      <c r="AC410" s="82">
        <f t="shared" si="126"/>
        <v>0</v>
      </c>
      <c r="AD410" s="82">
        <f t="shared" si="126"/>
        <v>0</v>
      </c>
      <c r="AE410" s="45">
        <f t="shared" si="127"/>
        <v>0</v>
      </c>
      <c r="AF410" s="45">
        <f t="shared" si="127"/>
        <v>0</v>
      </c>
      <c r="AG410" s="45">
        <f t="shared" si="128"/>
        <v>0</v>
      </c>
      <c r="AH410" s="47">
        <f>IFERROR(ROUNDDOWN(INDEX('90% of ACR'!K:K,MATCH(H:H,'90% of ACR'!A:A,0))*IF(I410&gt;0,IF(O410&gt;0,$R$4*MAX(O410-V410,0),0),0)/I410,2),0)</f>
        <v>0</v>
      </c>
      <c r="AI410" s="82">
        <f>IFERROR(ROUNDDOWN(INDEX('90% of ACR'!R:R,MATCH(H:H,'90% of ACR'!A:A,0))*IF(J410&gt;0,IF(P410&gt;0,$R$4*MAX(P410-W410,0),0),0)/J410,2),0)</f>
        <v>0</v>
      </c>
      <c r="AJ410" s="45">
        <f t="shared" si="129"/>
        <v>0</v>
      </c>
      <c r="AK410" s="45">
        <f t="shared" si="129"/>
        <v>0</v>
      </c>
      <c r="AL410" s="47">
        <f t="shared" si="130"/>
        <v>0</v>
      </c>
      <c r="AM410" s="47">
        <f t="shared" si="130"/>
        <v>0.2</v>
      </c>
      <c r="AN410" s="83">
        <f>IFERROR(INDEX('Fee Calc'!P:P,MATCH(C410,'Fee Calc'!F:F,0)),0)</f>
        <v>16521.821048957721</v>
      </c>
      <c r="AO410" s="83">
        <f>IFERROR(INDEX('Fee Calc'!Q:Q,MATCH(C410,'Fee Calc'!F:F,0)),0)</f>
        <v>1016.1188883584402</v>
      </c>
      <c r="AP410" s="83">
        <f t="shared" si="131"/>
        <v>17537.939937316161</v>
      </c>
      <c r="AQ410" s="70">
        <f t="shared" si="132"/>
        <v>7489.2615673119953</v>
      </c>
      <c r="AR410" s="70">
        <f t="shared" si="133"/>
        <v>3744.6307836559977</v>
      </c>
      <c r="AS410" s="70">
        <f t="shared" si="134"/>
        <v>3744.6307836559977</v>
      </c>
    </row>
    <row r="411" spans="1:45">
      <c r="A411" s="104" t="s">
        <v>2776</v>
      </c>
      <c r="B411" s="124" t="s">
        <v>2542</v>
      </c>
      <c r="C411" s="31" t="s">
        <v>2543</v>
      </c>
      <c r="D411" s="125" t="s">
        <v>2543</v>
      </c>
      <c r="E411" s="119" t="s">
        <v>2948</v>
      </c>
      <c r="F411" s="100" t="s">
        <v>2291</v>
      </c>
      <c r="G411" s="100" t="s">
        <v>227</v>
      </c>
      <c r="H411" s="43" t="str">
        <f t="shared" si="117"/>
        <v>Rural MRSA West</v>
      </c>
      <c r="I411" s="45">
        <f>INDEX('Fee Calc'!M:M,MATCH(C:C,'Fee Calc'!F:F,0))</f>
        <v>1355831.2835294374</v>
      </c>
      <c r="J411" s="45">
        <f>INDEX('Fee Calc'!L:L,MATCH(C:C,'Fee Calc'!F:F,0))</f>
        <v>664739.88655434293</v>
      </c>
      <c r="K411" s="45">
        <f t="shared" si="118"/>
        <v>2020571.1700837803</v>
      </c>
      <c r="L411" s="45">
        <v>28704.959999999999</v>
      </c>
      <c r="M411" s="45">
        <v>1911155.65</v>
      </c>
      <c r="N411" s="45">
        <f t="shared" si="119"/>
        <v>1939860.6099999999</v>
      </c>
      <c r="O411" s="45">
        <v>940273.54658561433</v>
      </c>
      <c r="P411" s="45">
        <v>3904144.7524557095</v>
      </c>
      <c r="Q411" s="45">
        <f t="shared" si="120"/>
        <v>4844418.2990413234</v>
      </c>
      <c r="R411" s="45" t="str">
        <f t="shared" si="121"/>
        <v>Yes</v>
      </c>
      <c r="S411" s="46" t="str">
        <f t="shared" si="121"/>
        <v>Yes</v>
      </c>
      <c r="T411" s="47">
        <f>ROUND(INDEX(Summary!H:H,MATCH(H:H,Summary!A:A,0)),2)</f>
        <v>0</v>
      </c>
      <c r="U411" s="47">
        <f>ROUND(INDEX(Summary!I:I,MATCH(H:H,Summary!A:A,0)),2)</f>
        <v>0.2</v>
      </c>
      <c r="V411" s="81">
        <f t="shared" si="122"/>
        <v>0</v>
      </c>
      <c r="W411" s="81">
        <f t="shared" si="122"/>
        <v>132947.97731086859</v>
      </c>
      <c r="X411" s="45">
        <f t="shared" si="123"/>
        <v>132947.97731086859</v>
      </c>
      <c r="Y411" s="45" t="s">
        <v>2752</v>
      </c>
      <c r="Z411" s="45" t="str">
        <f t="shared" si="124"/>
        <v>No</v>
      </c>
      <c r="AA411" s="45" t="str">
        <f t="shared" si="124"/>
        <v>Yes</v>
      </c>
      <c r="AB411" s="45" t="str">
        <f t="shared" si="125"/>
        <v>Yes</v>
      </c>
      <c r="AC411" s="82">
        <f t="shared" si="126"/>
        <v>0.48</v>
      </c>
      <c r="AD411" s="82">
        <f t="shared" si="126"/>
        <v>3.95</v>
      </c>
      <c r="AE411" s="45">
        <f t="shared" si="127"/>
        <v>650799.01609412988</v>
      </c>
      <c r="AF411" s="45">
        <f t="shared" si="127"/>
        <v>2625722.5518896547</v>
      </c>
      <c r="AG411" s="45">
        <f t="shared" si="128"/>
        <v>3276521.5679837847</v>
      </c>
      <c r="AH411" s="47">
        <f>IFERROR(ROUNDDOWN(INDEX('90% of ACR'!K:K,MATCH(H:H,'90% of ACR'!A:A,0))*IF(I411&gt;0,IF(O411&gt;0,$R$4*MAX(O411-V411,0),0),0)/I411,2),0)</f>
        <v>0</v>
      </c>
      <c r="AI411" s="82">
        <f>IFERROR(ROUNDDOWN(INDEX('90% of ACR'!R:R,MATCH(H:H,'90% of ACR'!A:A,0))*IF(J411&gt;0,IF(P411&gt;0,$R$4*MAX(P411-W411,0),0),0)/J411,2),0)</f>
        <v>3.45</v>
      </c>
      <c r="AJ411" s="45">
        <f t="shared" si="129"/>
        <v>0</v>
      </c>
      <c r="AK411" s="45">
        <f t="shared" si="129"/>
        <v>2293352.6086124834</v>
      </c>
      <c r="AL411" s="47">
        <f t="shared" si="130"/>
        <v>0</v>
      </c>
      <c r="AM411" s="47">
        <f t="shared" si="130"/>
        <v>3.6500000000000004</v>
      </c>
      <c r="AN411" s="83">
        <f>IFERROR(INDEX('Fee Calc'!P:P,MATCH(C411,'Fee Calc'!F:F,0)),0)</f>
        <v>2426300.5859233518</v>
      </c>
      <c r="AO411" s="83">
        <f>IFERROR(INDEX('Fee Calc'!Q:Q,MATCH(C411,'Fee Calc'!F:F,0)),0)</f>
        <v>148023.64317304268</v>
      </c>
      <c r="AP411" s="83">
        <f t="shared" si="131"/>
        <v>2574324.2290963945</v>
      </c>
      <c r="AQ411" s="70">
        <f t="shared" si="132"/>
        <v>1099318.8241994914</v>
      </c>
      <c r="AR411" s="70">
        <f t="shared" si="133"/>
        <v>549659.41209974571</v>
      </c>
      <c r="AS411" s="70">
        <f t="shared" si="134"/>
        <v>549659.41209974571</v>
      </c>
    </row>
    <row r="412" spans="1:45">
      <c r="A412" s="104" t="s">
        <v>650</v>
      </c>
      <c r="B412" s="124" t="s">
        <v>650</v>
      </c>
      <c r="C412" s="31" t="s">
        <v>651</v>
      </c>
      <c r="D412" s="125" t="s">
        <v>651</v>
      </c>
      <c r="E412" s="119" t="s">
        <v>2341</v>
      </c>
      <c r="F412" s="100" t="s">
        <v>2291</v>
      </c>
      <c r="G412" s="100" t="s">
        <v>227</v>
      </c>
      <c r="H412" s="43" t="str">
        <f t="shared" si="117"/>
        <v>Rural MRSA West</v>
      </c>
      <c r="I412" s="45">
        <f>INDEX('Fee Calc'!M:M,MATCH(C:C,'Fee Calc'!F:F,0))</f>
        <v>18354.364425955115</v>
      </c>
      <c r="J412" s="45">
        <f>INDEX('Fee Calc'!L:L,MATCH(C:C,'Fee Calc'!F:F,0))</f>
        <v>121487.7356591117</v>
      </c>
      <c r="K412" s="45">
        <f t="shared" si="118"/>
        <v>139842.10008506681</v>
      </c>
      <c r="L412" s="45">
        <v>36150.79</v>
      </c>
      <c r="M412" s="45">
        <v>46629.73</v>
      </c>
      <c r="N412" s="45">
        <f t="shared" si="119"/>
        <v>82780.52</v>
      </c>
      <c r="O412" s="45">
        <v>-14679.43051678242</v>
      </c>
      <c r="P412" s="45">
        <v>14998.929499714948</v>
      </c>
      <c r="Q412" s="45">
        <f t="shared" si="120"/>
        <v>319.49898293252772</v>
      </c>
      <c r="R412" s="45" t="str">
        <f t="shared" si="121"/>
        <v>No</v>
      </c>
      <c r="S412" s="46" t="str">
        <f t="shared" si="121"/>
        <v>Yes</v>
      </c>
      <c r="T412" s="47">
        <f>ROUND(INDEX(Summary!H:H,MATCH(H:H,Summary!A:A,0)),2)</f>
        <v>0</v>
      </c>
      <c r="U412" s="47">
        <f>ROUND(INDEX(Summary!I:I,MATCH(H:H,Summary!A:A,0)),2)</f>
        <v>0.2</v>
      </c>
      <c r="V412" s="81">
        <f t="shared" si="122"/>
        <v>0</v>
      </c>
      <c r="W412" s="81">
        <f t="shared" si="122"/>
        <v>24297.547131822343</v>
      </c>
      <c r="X412" s="45">
        <f t="shared" si="123"/>
        <v>24297.547131822343</v>
      </c>
      <c r="Y412" s="45" t="s">
        <v>2752</v>
      </c>
      <c r="Z412" s="45" t="str">
        <f t="shared" si="124"/>
        <v>No</v>
      </c>
      <c r="AA412" s="45" t="str">
        <f t="shared" si="124"/>
        <v>No</v>
      </c>
      <c r="AB412" s="45" t="str">
        <f t="shared" si="125"/>
        <v>No</v>
      </c>
      <c r="AC412" s="82">
        <f t="shared" si="126"/>
        <v>0</v>
      </c>
      <c r="AD412" s="82">
        <f t="shared" si="126"/>
        <v>0</v>
      </c>
      <c r="AE412" s="45">
        <f t="shared" si="127"/>
        <v>0</v>
      </c>
      <c r="AF412" s="45">
        <f t="shared" si="127"/>
        <v>0</v>
      </c>
      <c r="AG412" s="45">
        <f t="shared" si="128"/>
        <v>0</v>
      </c>
      <c r="AH412" s="47">
        <f>IFERROR(ROUNDDOWN(INDEX('90% of ACR'!K:K,MATCH(H:H,'90% of ACR'!A:A,0))*IF(I412&gt;0,IF(O412&gt;0,$R$4*MAX(O412-V412,0),0),0)/I412,2),0)</f>
        <v>0</v>
      </c>
      <c r="AI412" s="82">
        <f>IFERROR(ROUNDDOWN(INDEX('90% of ACR'!R:R,MATCH(H:H,'90% of ACR'!A:A,0))*IF(J412&gt;0,IF(P412&gt;0,$R$4*MAX(P412-W412,0),0),0)/J412,2),0)</f>
        <v>0</v>
      </c>
      <c r="AJ412" s="45">
        <f t="shared" si="129"/>
        <v>0</v>
      </c>
      <c r="AK412" s="45">
        <f t="shared" si="129"/>
        <v>0</v>
      </c>
      <c r="AL412" s="47">
        <f t="shared" si="130"/>
        <v>0</v>
      </c>
      <c r="AM412" s="47">
        <f t="shared" si="130"/>
        <v>0.2</v>
      </c>
      <c r="AN412" s="83">
        <f>IFERROR(INDEX('Fee Calc'!P:P,MATCH(C412,'Fee Calc'!F:F,0)),0)</f>
        <v>24297.547131822343</v>
      </c>
      <c r="AO412" s="83">
        <f>IFERROR(INDEX('Fee Calc'!Q:Q,MATCH(C412,'Fee Calc'!F:F,0)),0)</f>
        <v>1500.1712742829104</v>
      </c>
      <c r="AP412" s="83">
        <f t="shared" si="131"/>
        <v>25797.718406105254</v>
      </c>
      <c r="AQ412" s="70">
        <f t="shared" si="132"/>
        <v>11016.451286395939</v>
      </c>
      <c r="AR412" s="70">
        <f t="shared" si="133"/>
        <v>5508.2256431979695</v>
      </c>
      <c r="AS412" s="70">
        <f t="shared" si="134"/>
        <v>5508.2256431979695</v>
      </c>
    </row>
  </sheetData>
  <scenarios current="0" sqref="X4 AJ4 AK4 AN4 AO4 AP4">
    <scenario name="80 PCT" locked="1" count="1" user="Author">
      <inputCells r="R4" val="0.8" numFmtId="9"/>
    </scenario>
    <scenario name="100 PCT" locked="1" count="1" user="Author">
      <inputCells r="R4" val="1" numFmtId="9"/>
    </scenario>
    <scenario name="90 PCT" locked="1" count="1" user="Author">
      <inputCells r="R4" val="0.9" numFmtId="9"/>
    </scenario>
    <scenario name="5.02B" locked="1" count="1" user="Author">
      <inputCells r="R4" val="0.61" numFmtId="9"/>
    </scenario>
    <scenario name="4.7B" locked="1" count="1" user="Author">
      <inputCells r="R4" val="0.52" numFmtId="9"/>
    </scenario>
  </scenarios>
  <autoFilter ref="A5:AS412" xr:uid="{CFD91686-16E2-4E00-82C6-9FB658861CB0}"/>
  <sortState xmlns:xlrd2="http://schemas.microsoft.com/office/spreadsheetml/2017/richdata2" ref="F6:O53">
    <sortCondition ref="I6:I53"/>
  </sortState>
  <dataConsolidate link="1"/>
  <phoneticPr fontId="25" type="noConversion"/>
  <conditionalFormatting sqref="A413:A1048576 A1:A2 A4:A5">
    <cfRule type="duplicateValues" dxfId="7" priority="23"/>
  </conditionalFormatting>
  <conditionalFormatting sqref="B6:B53">
    <cfRule type="duplicateValues" dxfId="6" priority="102"/>
  </conditionalFormatting>
  <conditionalFormatting sqref="C227:C412 C5:C225">
    <cfRule type="duplicateValues" dxfId="5" priority="105"/>
  </conditionalFormatting>
  <conditionalFormatting sqref="C1:C1048576">
    <cfRule type="duplicateValues" dxfId="4" priority="2"/>
  </conditionalFormatting>
  <conditionalFormatting sqref="A1:A1048576">
    <cfRule type="duplicateValues" dxfId="3" priority="1"/>
  </conditionalFormatting>
  <pageMargins left="0.7" right="0.7" top="0.75" bottom="0.75" header="0.3" footer="0.3"/>
  <pageSetup scale="23" fitToHeight="0" orientation="landscape" r:id="rId1"/>
  <cellWatches>
    <cellWatch r="AP4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80B48-F3D5-4849-8D67-7EA1513A9FEE}">
  <sheetPr>
    <tabColor rgb="FF7030A0"/>
  </sheetPr>
  <dimension ref="A1:V412"/>
  <sheetViews>
    <sheetView topLeftCell="B34" workbookViewId="0">
      <selection activeCell="C54" sqref="C54"/>
    </sheetView>
  </sheetViews>
  <sheetFormatPr defaultColWidth="9.09765625" defaultRowHeight="15"/>
  <cols>
    <col min="1" max="1" width="23.296875" style="9" customWidth="1"/>
    <col min="2" max="2" width="7" style="9" bestFit="1" customWidth="1"/>
    <col min="3" max="3" width="18.796875" style="9" customWidth="1"/>
    <col min="4" max="4" width="14.19921875" style="9" customWidth="1"/>
    <col min="5" max="5" width="19.09765625" style="9" bestFit="1" customWidth="1"/>
    <col min="6" max="6" width="11" style="9" bestFit="1" customWidth="1"/>
    <col min="7" max="7" width="25.59765625" style="9" customWidth="1"/>
    <col min="8" max="8" width="14.19921875" style="9" customWidth="1"/>
    <col min="9" max="9" width="14.19921875" style="9" bestFit="1" customWidth="1"/>
    <col min="10" max="11" width="12.3984375" style="9" bestFit="1" customWidth="1"/>
    <col min="12" max="12" width="14.09765625" style="9" customWidth="1"/>
    <col min="13" max="13" width="14.19921875" style="9" bestFit="1" customWidth="1"/>
    <col min="14" max="14" width="14.19921875" style="9" customWidth="1"/>
    <col min="15" max="15" width="9.19921875" style="9" bestFit="1" customWidth="1"/>
    <col min="16" max="16" width="14.19921875" style="9" bestFit="1" customWidth="1"/>
    <col min="17" max="17" width="12.3984375" style="9" bestFit="1" customWidth="1"/>
    <col min="18" max="18" width="14.19921875" style="9" bestFit="1" customWidth="1"/>
    <col min="19" max="20" width="14.19921875" style="9" customWidth="1"/>
    <col min="21" max="21" width="12.3984375" style="9" bestFit="1" customWidth="1"/>
    <col min="22" max="22" width="14.19921875" style="9" bestFit="1" customWidth="1"/>
    <col min="23" max="16384" width="9.09765625" style="9"/>
  </cols>
  <sheetData>
    <row r="1" spans="1:22">
      <c r="A1" s="1" t="s">
        <v>2964</v>
      </c>
      <c r="B1" s="9" t="s">
        <v>2965</v>
      </c>
    </row>
    <row r="2" spans="1:22">
      <c r="H2" s="126" t="s">
        <v>2966</v>
      </c>
      <c r="I2" s="127"/>
      <c r="J2" s="127"/>
      <c r="K2" s="127"/>
      <c r="L2" s="127"/>
      <c r="M2" s="128"/>
      <c r="N2" s="147"/>
      <c r="O2" s="1"/>
      <c r="P2" s="1"/>
      <c r="Q2" s="1"/>
      <c r="R2" s="1"/>
      <c r="S2" s="1"/>
      <c r="T2" s="1"/>
      <c r="U2" s="1"/>
      <c r="V2" s="1"/>
    </row>
    <row r="3" spans="1:22">
      <c r="H3" s="129" t="s">
        <v>2395</v>
      </c>
      <c r="I3" s="130"/>
      <c r="J3" s="152" t="s">
        <v>2396</v>
      </c>
      <c r="K3" s="152"/>
      <c r="L3" s="151"/>
      <c r="M3" s="150"/>
      <c r="N3" s="148"/>
      <c r="O3" s="1"/>
      <c r="P3" s="126" t="s">
        <v>2967</v>
      </c>
      <c r="Q3" s="127"/>
      <c r="R3" s="127"/>
      <c r="S3" s="127"/>
      <c r="T3" s="127"/>
      <c r="U3" s="127"/>
      <c r="V3" s="128"/>
    </row>
    <row r="4" spans="1:22" ht="49.5" customHeight="1">
      <c r="A4" s="1" t="s">
        <v>2738</v>
      </c>
      <c r="D4" s="131" t="s">
        <v>2964</v>
      </c>
      <c r="E4" s="1" t="s">
        <v>2278</v>
      </c>
      <c r="F4" s="5" t="s">
        <v>1755</v>
      </c>
      <c r="G4" s="1" t="s">
        <v>2277</v>
      </c>
      <c r="H4" s="132" t="s">
        <v>2276</v>
      </c>
      <c r="I4" s="133" t="s">
        <v>2275</v>
      </c>
      <c r="J4" s="133" t="s">
        <v>2276</v>
      </c>
      <c r="K4" s="133" t="s">
        <v>2275</v>
      </c>
      <c r="L4" s="133" t="s">
        <v>2273</v>
      </c>
      <c r="M4" s="150" t="s">
        <v>2274</v>
      </c>
      <c r="N4" s="149" t="s">
        <v>3006</v>
      </c>
      <c r="O4" s="134" t="s">
        <v>3007</v>
      </c>
      <c r="P4" s="135" t="s">
        <v>2735</v>
      </c>
      <c r="Q4" s="134" t="s">
        <v>2712</v>
      </c>
      <c r="R4" s="134" t="s">
        <v>2737</v>
      </c>
      <c r="S4" s="134" t="s">
        <v>3008</v>
      </c>
      <c r="T4" s="134" t="s">
        <v>2736</v>
      </c>
      <c r="U4" s="134" t="s">
        <v>3009</v>
      </c>
      <c r="V4" s="136" t="s">
        <v>2397</v>
      </c>
    </row>
    <row r="5" spans="1:22">
      <c r="A5" s="9" t="s">
        <v>2739</v>
      </c>
      <c r="B5" s="137">
        <v>1.4999999999999999E-2</v>
      </c>
      <c r="D5" s="9" t="s">
        <v>487</v>
      </c>
      <c r="E5" s="9" t="s">
        <v>1547</v>
      </c>
      <c r="F5" s="4" t="s">
        <v>71</v>
      </c>
      <c r="G5" s="9" t="s">
        <v>2968</v>
      </c>
      <c r="H5" s="138">
        <v>27732572.02138938</v>
      </c>
      <c r="I5" s="139">
        <v>70073538.60730198</v>
      </c>
      <c r="J5" s="139">
        <v>94280.681304723694</v>
      </c>
      <c r="K5" s="139">
        <v>152868.27828707467</v>
      </c>
      <c r="L5" s="139">
        <f>H5+J5</f>
        <v>27826852.702694103</v>
      </c>
      <c r="M5" s="140">
        <f>I5+K5</f>
        <v>70226406.885589048</v>
      </c>
      <c r="N5" s="21">
        <f>INDEX('CHIRP Payment Calc'!AM:AM,MATCH(F:F,'CHIRP Payment Calc'!C:C,0))</f>
        <v>1.1000000000000001</v>
      </c>
      <c r="O5" s="141">
        <f>INDEX('CHIRP Payment Calc'!AL:AL,MATCH(F:F,'CHIRP Payment Calc'!C:C,0))</f>
        <v>0.73</v>
      </c>
      <c r="P5" s="138">
        <f>(L5*N5)+(M5*O5)</f>
        <v>81874814.999443516</v>
      </c>
      <c r="Q5" s="139">
        <f>(R5+T5)*$B$10+(S5+U5)*$B$11</f>
        <v>4995622.7859375635</v>
      </c>
      <c r="R5" s="139">
        <f>H5/(1-$B$10)*N5</f>
        <v>32366927.558120232</v>
      </c>
      <c r="S5" s="139">
        <f>J5/(1-$B$11)*N5</f>
        <v>110328.45684595326</v>
      </c>
      <c r="T5" s="139">
        <f>I5/(1-$B$10)*O5</f>
        <v>54274464.916000478</v>
      </c>
      <c r="U5" s="139">
        <f>K5/(1-$B$11)*O5</f>
        <v>118716.85441443033</v>
      </c>
      <c r="V5" s="140">
        <f>SUM(R5:U5)</f>
        <v>86870437.785381094</v>
      </c>
    </row>
    <row r="6" spans="1:22">
      <c r="A6" s="9" t="s">
        <v>2740</v>
      </c>
      <c r="B6" s="137">
        <v>1.7500000000000002E-2</v>
      </c>
      <c r="D6" s="9" t="s">
        <v>487</v>
      </c>
      <c r="E6" s="9" t="s">
        <v>2529</v>
      </c>
      <c r="F6" s="4" t="s">
        <v>1340</v>
      </c>
      <c r="G6" s="9" t="s">
        <v>2829</v>
      </c>
      <c r="H6" s="138">
        <v>0</v>
      </c>
      <c r="I6" s="139">
        <v>4546098.1784821441</v>
      </c>
      <c r="J6" s="139">
        <v>0</v>
      </c>
      <c r="K6" s="139">
        <v>0</v>
      </c>
      <c r="L6" s="139">
        <f t="shared" ref="L6:L69" si="0">H6+J6</f>
        <v>0</v>
      </c>
      <c r="M6" s="140">
        <f t="shared" ref="M6:M69" si="1">I6+K6</f>
        <v>4546098.1784821441</v>
      </c>
      <c r="N6" s="21">
        <f>INDEX('CHIRP Payment Calc'!AM:AM,MATCH(F:F,'CHIRP Payment Calc'!C:C,0))</f>
        <v>0</v>
      </c>
      <c r="O6" s="141">
        <f>INDEX('CHIRP Payment Calc'!AL:AL,MATCH(F:F,'CHIRP Payment Calc'!C:C,0))</f>
        <v>7.0000000000000007E-2</v>
      </c>
      <c r="P6" s="138">
        <f t="shared" ref="P6:P69" si="2">(L6*N6)+(M6*O6)</f>
        <v>318226.87249375012</v>
      </c>
      <c r="Q6" s="139">
        <f t="shared" ref="Q6:Q69" si="3">(R6+T6)*$B$10+(S6+U6)*$B$11</f>
        <v>19414.371531448945</v>
      </c>
      <c r="R6" s="139">
        <f t="shared" ref="R6:R69" si="4">H6/(1-$B$10)*N6</f>
        <v>0</v>
      </c>
      <c r="S6" s="139">
        <f t="shared" ref="S6:S69" si="5">J6/(1-$B$11)*N6</f>
        <v>0</v>
      </c>
      <c r="T6" s="139">
        <f t="shared" ref="T6:T69" si="6">I6/(1-$B$10)*O6</f>
        <v>337641.24402519903</v>
      </c>
      <c r="U6" s="139">
        <f t="shared" ref="U6:U69" si="7">K6/(1-$B$11)*O6</f>
        <v>0</v>
      </c>
      <c r="V6" s="140">
        <f t="shared" ref="V6:V69" si="8">SUM(R6:U6)</f>
        <v>337641.24402519903</v>
      </c>
    </row>
    <row r="7" spans="1:22">
      <c r="A7" s="9" t="s">
        <v>2741</v>
      </c>
      <c r="B7" s="137">
        <v>2.5000000000000001E-2</v>
      </c>
      <c r="D7" s="9" t="s">
        <v>487</v>
      </c>
      <c r="E7" s="9" t="s">
        <v>2529</v>
      </c>
      <c r="F7" s="4" t="s">
        <v>2328</v>
      </c>
      <c r="G7" s="9" t="s">
        <v>2528</v>
      </c>
      <c r="H7" s="138">
        <v>0</v>
      </c>
      <c r="I7" s="139">
        <v>8888962.5916112009</v>
      </c>
      <c r="J7" s="139">
        <v>0</v>
      </c>
      <c r="K7" s="139">
        <v>0</v>
      </c>
      <c r="L7" s="139">
        <f t="shared" si="0"/>
        <v>0</v>
      </c>
      <c r="M7" s="140">
        <f t="shared" si="1"/>
        <v>8888962.5916112009</v>
      </c>
      <c r="N7" s="21">
        <f>INDEX('CHIRP Payment Calc'!AM:AM,MATCH(F:F,'CHIRP Payment Calc'!C:C,0))</f>
        <v>0</v>
      </c>
      <c r="O7" s="141">
        <f>INDEX('CHIRP Payment Calc'!AL:AL,MATCH(F:F,'CHIRP Payment Calc'!C:C,0))</f>
        <v>7.0000000000000007E-2</v>
      </c>
      <c r="P7" s="138">
        <f t="shared" si="2"/>
        <v>622227.3814127841</v>
      </c>
      <c r="Q7" s="139">
        <f t="shared" si="3"/>
        <v>37960.82167770301</v>
      </c>
      <c r="R7" s="139">
        <f t="shared" si="4"/>
        <v>0</v>
      </c>
      <c r="S7" s="139">
        <f t="shared" si="5"/>
        <v>0</v>
      </c>
      <c r="T7" s="139">
        <f t="shared" si="6"/>
        <v>660188.20309048716</v>
      </c>
      <c r="U7" s="139">
        <f t="shared" si="7"/>
        <v>0</v>
      </c>
      <c r="V7" s="140">
        <f t="shared" si="8"/>
        <v>660188.20309048716</v>
      </c>
    </row>
    <row r="8" spans="1:22">
      <c r="A8" s="9" t="s">
        <v>2742</v>
      </c>
      <c r="B8" s="137">
        <v>1.7500000000000002E-2</v>
      </c>
      <c r="D8" s="9" t="s">
        <v>487</v>
      </c>
      <c r="E8" s="9" t="s">
        <v>2529</v>
      </c>
      <c r="F8" s="4" t="s">
        <v>1307</v>
      </c>
      <c r="G8" s="9" t="s">
        <v>2717</v>
      </c>
      <c r="H8" s="138">
        <v>0</v>
      </c>
      <c r="I8" s="139">
        <v>5297196.5814906266</v>
      </c>
      <c r="J8" s="139">
        <v>0</v>
      </c>
      <c r="K8" s="139">
        <v>0</v>
      </c>
      <c r="L8" s="139">
        <f t="shared" si="0"/>
        <v>0</v>
      </c>
      <c r="M8" s="140">
        <f t="shared" si="1"/>
        <v>5297196.5814906266</v>
      </c>
      <c r="N8" s="21">
        <f>INDEX('CHIRP Payment Calc'!AM:AM,MATCH(F:F,'CHIRP Payment Calc'!C:C,0))</f>
        <v>0</v>
      </c>
      <c r="O8" s="141">
        <f>INDEX('CHIRP Payment Calc'!AL:AL,MATCH(F:F,'CHIRP Payment Calc'!C:C,0))</f>
        <v>7.0000000000000007E-2</v>
      </c>
      <c r="P8" s="138">
        <f t="shared" si="2"/>
        <v>370803.76070434391</v>
      </c>
      <c r="Q8" s="139">
        <f t="shared" si="3"/>
        <v>22621.98009602098</v>
      </c>
      <c r="R8" s="139">
        <f t="shared" si="4"/>
        <v>0</v>
      </c>
      <c r="S8" s="139">
        <f t="shared" si="5"/>
        <v>0</v>
      </c>
      <c r="T8" s="139">
        <f t="shared" si="6"/>
        <v>393425.74080036487</v>
      </c>
      <c r="U8" s="139">
        <f t="shared" si="7"/>
        <v>0</v>
      </c>
      <c r="V8" s="140">
        <f t="shared" si="8"/>
        <v>393425.74080036487</v>
      </c>
    </row>
    <row r="9" spans="1:22">
      <c r="A9" s="9" t="s">
        <v>2743</v>
      </c>
      <c r="B9" s="137">
        <v>0</v>
      </c>
      <c r="D9" s="9" t="s">
        <v>487</v>
      </c>
      <c r="E9" s="9" t="s">
        <v>2291</v>
      </c>
      <c r="F9" s="4" t="s">
        <v>863</v>
      </c>
      <c r="G9" s="9" t="s">
        <v>2426</v>
      </c>
      <c r="H9" s="138">
        <v>2349962.8502301909</v>
      </c>
      <c r="I9" s="139">
        <v>1526588.1388435371</v>
      </c>
      <c r="J9" s="139">
        <v>465747.60678349063</v>
      </c>
      <c r="K9" s="139">
        <v>439332.70956111565</v>
      </c>
      <c r="L9" s="139">
        <f t="shared" si="0"/>
        <v>2815710.4570136815</v>
      </c>
      <c r="M9" s="140">
        <f t="shared" si="1"/>
        <v>1965920.8484046527</v>
      </c>
      <c r="N9" s="21">
        <f>INDEX('CHIRP Payment Calc'!AM:AM,MATCH(F:F,'CHIRP Payment Calc'!C:C,0))</f>
        <v>0.33999999999999997</v>
      </c>
      <c r="O9" s="141">
        <f>INDEX('CHIRP Payment Calc'!AL:AL,MATCH(F:F,'CHIRP Payment Calc'!C:C,0))</f>
        <v>0.43</v>
      </c>
      <c r="P9" s="138">
        <f t="shared" si="2"/>
        <v>1802687.5201986523</v>
      </c>
      <c r="Q9" s="139">
        <f t="shared" si="3"/>
        <v>110958.21276063134</v>
      </c>
      <c r="R9" s="139">
        <f t="shared" si="4"/>
        <v>847731.9565817134</v>
      </c>
      <c r="S9" s="139">
        <f t="shared" si="5"/>
        <v>168461.90032594342</v>
      </c>
      <c r="T9" s="139">
        <f t="shared" si="6"/>
        <v>696480.53018856328</v>
      </c>
      <c r="U9" s="139">
        <f t="shared" si="7"/>
        <v>200971.34586306356</v>
      </c>
      <c r="V9" s="140">
        <f t="shared" si="8"/>
        <v>1913645.7329592837</v>
      </c>
    </row>
    <row r="10" spans="1:22">
      <c r="A10" s="1" t="s">
        <v>2969</v>
      </c>
      <c r="B10" s="142">
        <v>5.7500000000000002E-2</v>
      </c>
      <c r="D10" s="9" t="s">
        <v>487</v>
      </c>
      <c r="E10" s="9" t="s">
        <v>2291</v>
      </c>
      <c r="F10" s="4" t="s">
        <v>832</v>
      </c>
      <c r="G10" s="9" t="s">
        <v>2692</v>
      </c>
      <c r="H10" s="138">
        <v>1959455.2480771076</v>
      </c>
      <c r="I10" s="139">
        <v>542670.56444542482</v>
      </c>
      <c r="J10" s="139">
        <v>188938.07691529178</v>
      </c>
      <c r="K10" s="139">
        <v>59678.375964409053</v>
      </c>
      <c r="L10" s="139">
        <f t="shared" si="0"/>
        <v>2148393.3249923992</v>
      </c>
      <c r="M10" s="140">
        <f t="shared" si="1"/>
        <v>602348.94040983391</v>
      </c>
      <c r="N10" s="21">
        <f>INDEX('CHIRP Payment Calc'!AM:AM,MATCH(F:F,'CHIRP Payment Calc'!C:C,0))</f>
        <v>0.16</v>
      </c>
      <c r="O10" s="141">
        <f>INDEX('CHIRP Payment Calc'!AL:AL,MATCH(F:F,'CHIRP Payment Calc'!C:C,0))</f>
        <v>0.43</v>
      </c>
      <c r="P10" s="138">
        <f t="shared" si="2"/>
        <v>602752.97637501243</v>
      </c>
      <c r="Q10" s="139">
        <f t="shared" si="3"/>
        <v>36930.445124439619</v>
      </c>
      <c r="R10" s="139">
        <f t="shared" si="4"/>
        <v>332639.61771070259</v>
      </c>
      <c r="S10" s="139">
        <f t="shared" si="5"/>
        <v>32159.672666432645</v>
      </c>
      <c r="T10" s="139">
        <f t="shared" si="6"/>
        <v>247584.44850029994</v>
      </c>
      <c r="U10" s="139">
        <f t="shared" si="7"/>
        <v>27299.68262201691</v>
      </c>
      <c r="V10" s="140">
        <f t="shared" si="8"/>
        <v>639683.42149945209</v>
      </c>
    </row>
    <row r="11" spans="1:22">
      <c r="A11" s="1" t="s">
        <v>2970</v>
      </c>
      <c r="B11" s="142">
        <v>6.0000000000000005E-2</v>
      </c>
      <c r="D11" s="9" t="s">
        <v>487</v>
      </c>
      <c r="E11" s="9" t="s">
        <v>2291</v>
      </c>
      <c r="F11" s="4" t="s">
        <v>1172</v>
      </c>
      <c r="G11" s="9" t="s">
        <v>2651</v>
      </c>
      <c r="H11" s="138">
        <v>1680580.4430809147</v>
      </c>
      <c r="I11" s="139">
        <v>293072.55732373381</v>
      </c>
      <c r="J11" s="139">
        <v>166465.69690608466</v>
      </c>
      <c r="K11" s="139">
        <v>156464.80553649346</v>
      </c>
      <c r="L11" s="139">
        <f t="shared" si="0"/>
        <v>1847046.1399869993</v>
      </c>
      <c r="M11" s="140">
        <f t="shared" si="1"/>
        <v>449537.36286022724</v>
      </c>
      <c r="N11" s="21">
        <f>INDEX('CHIRP Payment Calc'!AM:AM,MATCH(F:F,'CHIRP Payment Calc'!C:C,0))</f>
        <v>0.22</v>
      </c>
      <c r="O11" s="141">
        <f>INDEX('CHIRP Payment Calc'!AL:AL,MATCH(F:F,'CHIRP Payment Calc'!C:C,0))</f>
        <v>0.43</v>
      </c>
      <c r="P11" s="138">
        <f t="shared" si="2"/>
        <v>599651.21682703751</v>
      </c>
      <c r="Q11" s="139">
        <f t="shared" si="3"/>
        <v>36876.690635759878</v>
      </c>
      <c r="R11" s="139">
        <f t="shared" si="4"/>
        <v>392284.02915416576</v>
      </c>
      <c r="S11" s="139">
        <f t="shared" si="5"/>
        <v>38960.056722700669</v>
      </c>
      <c r="T11" s="139">
        <f t="shared" si="6"/>
        <v>133709.49564902444</v>
      </c>
      <c r="U11" s="139">
        <f t="shared" si="7"/>
        <v>71574.325936906578</v>
      </c>
      <c r="V11" s="140">
        <f t="shared" si="8"/>
        <v>636527.90746279748</v>
      </c>
    </row>
    <row r="12" spans="1:22">
      <c r="D12" s="9" t="s">
        <v>487</v>
      </c>
      <c r="E12" s="9" t="s">
        <v>2950</v>
      </c>
      <c r="F12" s="4" t="s">
        <v>2313</v>
      </c>
      <c r="G12" s="9" t="s">
        <v>2700</v>
      </c>
      <c r="H12" s="138">
        <v>0</v>
      </c>
      <c r="I12" s="139">
        <v>129973.04160659014</v>
      </c>
      <c r="J12" s="139">
        <v>0</v>
      </c>
      <c r="K12" s="139">
        <v>0</v>
      </c>
      <c r="L12" s="139">
        <f t="shared" si="0"/>
        <v>0</v>
      </c>
      <c r="M12" s="140">
        <f t="shared" si="1"/>
        <v>129973.04160659014</v>
      </c>
      <c r="N12" s="21">
        <f>INDEX('CHIRP Payment Calc'!AM:AM,MATCH(F:F,'CHIRP Payment Calc'!C:C,0))</f>
        <v>0</v>
      </c>
      <c r="O12" s="141">
        <f>INDEX('CHIRP Payment Calc'!AL:AL,MATCH(F:F,'CHIRP Payment Calc'!C:C,0))</f>
        <v>0.36</v>
      </c>
      <c r="P12" s="138">
        <f t="shared" si="2"/>
        <v>46790.294978372447</v>
      </c>
      <c r="Q12" s="139">
        <f t="shared" si="3"/>
        <v>2854.5803302455338</v>
      </c>
      <c r="R12" s="139">
        <f t="shared" si="4"/>
        <v>0</v>
      </c>
      <c r="S12" s="139">
        <f t="shared" si="5"/>
        <v>0</v>
      </c>
      <c r="T12" s="139">
        <f t="shared" si="6"/>
        <v>49644.875308617979</v>
      </c>
      <c r="U12" s="139">
        <f t="shared" si="7"/>
        <v>0</v>
      </c>
      <c r="V12" s="140">
        <f t="shared" si="8"/>
        <v>49644.875308617979</v>
      </c>
    </row>
    <row r="13" spans="1:22">
      <c r="D13" s="9" t="s">
        <v>487</v>
      </c>
      <c r="E13" s="9" t="s">
        <v>2279</v>
      </c>
      <c r="F13" s="4" t="s">
        <v>869</v>
      </c>
      <c r="G13" s="9" t="s">
        <v>2432</v>
      </c>
      <c r="H13" s="138">
        <v>19674822.948628236</v>
      </c>
      <c r="I13" s="139">
        <v>74982568.69944635</v>
      </c>
      <c r="J13" s="139">
        <v>5467833.5751249362</v>
      </c>
      <c r="K13" s="139">
        <v>24273470.949368365</v>
      </c>
      <c r="L13" s="139">
        <f t="shared" si="0"/>
        <v>25142656.523753174</v>
      </c>
      <c r="M13" s="140">
        <f t="shared" si="1"/>
        <v>99256039.648814708</v>
      </c>
      <c r="N13" s="21">
        <f>INDEX('CHIRP Payment Calc'!AM:AM,MATCH(F:F,'CHIRP Payment Calc'!C:C,0))</f>
        <v>0.6</v>
      </c>
      <c r="O13" s="141">
        <f>INDEX('CHIRP Payment Calc'!AL:AL,MATCH(F:F,'CHIRP Payment Calc'!C:C,0))</f>
        <v>1.04</v>
      </c>
      <c r="P13" s="138">
        <f t="shared" si="2"/>
        <v>118311875.14901921</v>
      </c>
      <c r="Q13" s="139">
        <f t="shared" si="3"/>
        <v>7298458.8595694266</v>
      </c>
      <c r="R13" s="139">
        <f t="shared" si="4"/>
        <v>12525086.227243438</v>
      </c>
      <c r="S13" s="139">
        <f t="shared" si="5"/>
        <v>3490106.5373137896</v>
      </c>
      <c r="T13" s="139">
        <f t="shared" si="6"/>
        <v>82739386.151113212</v>
      </c>
      <c r="U13" s="139">
        <f t="shared" si="7"/>
        <v>26855755.092918195</v>
      </c>
      <c r="V13" s="140">
        <f t="shared" si="8"/>
        <v>125610334.00858864</v>
      </c>
    </row>
    <row r="14" spans="1:22">
      <c r="A14" s="9" t="s">
        <v>2971</v>
      </c>
      <c r="D14" s="9" t="s">
        <v>487</v>
      </c>
      <c r="E14" s="9" t="s">
        <v>2279</v>
      </c>
      <c r="F14" s="4" t="s">
        <v>62</v>
      </c>
      <c r="G14" s="9" t="s">
        <v>2972</v>
      </c>
      <c r="H14" s="138">
        <v>5232624.2012237683</v>
      </c>
      <c r="I14" s="139">
        <v>7297367.6296474114</v>
      </c>
      <c r="J14" s="139">
        <v>1661980.4628833579</v>
      </c>
      <c r="K14" s="139">
        <v>4518941.030856098</v>
      </c>
      <c r="L14" s="139">
        <f t="shared" si="0"/>
        <v>6894604.6641071262</v>
      </c>
      <c r="M14" s="140">
        <f t="shared" si="1"/>
        <v>11816308.66050351</v>
      </c>
      <c r="N14" s="21">
        <f>INDEX('CHIRP Payment Calc'!AM:AM,MATCH(F:F,'CHIRP Payment Calc'!C:C,0))</f>
        <v>0.75</v>
      </c>
      <c r="O14" s="141">
        <f>INDEX('CHIRP Payment Calc'!AL:AL,MATCH(F:F,'CHIRP Payment Calc'!C:C,0))</f>
        <v>1.06</v>
      </c>
      <c r="P14" s="138">
        <f t="shared" si="2"/>
        <v>17696240.678214066</v>
      </c>
      <c r="Q14" s="139">
        <f t="shared" si="3"/>
        <v>1096645.6524150858</v>
      </c>
      <c r="R14" s="139">
        <f t="shared" si="4"/>
        <v>4163891.9373133434</v>
      </c>
      <c r="S14" s="139">
        <f t="shared" si="5"/>
        <v>1326048.2416622536</v>
      </c>
      <c r="T14" s="139">
        <f t="shared" si="6"/>
        <v>8207119.0317519968</v>
      </c>
      <c r="U14" s="139">
        <f t="shared" si="7"/>
        <v>5095827.1199015575</v>
      </c>
      <c r="V14" s="140">
        <f t="shared" si="8"/>
        <v>18792886.330629151</v>
      </c>
    </row>
    <row r="15" spans="1:22">
      <c r="A15" s="9" t="s">
        <v>2973</v>
      </c>
      <c r="D15" s="9" t="s">
        <v>487</v>
      </c>
      <c r="E15" s="9" t="s">
        <v>2279</v>
      </c>
      <c r="F15" s="4" t="s">
        <v>363</v>
      </c>
      <c r="G15" s="9" t="s">
        <v>2654</v>
      </c>
      <c r="H15" s="138">
        <v>1014231.3860151258</v>
      </c>
      <c r="I15" s="139">
        <v>1094764.8345336332</v>
      </c>
      <c r="J15" s="139">
        <v>198531.66109623361</v>
      </c>
      <c r="K15" s="139">
        <v>562438.7352537727</v>
      </c>
      <c r="L15" s="139">
        <f t="shared" si="0"/>
        <v>1212763.0471113594</v>
      </c>
      <c r="M15" s="140">
        <f t="shared" si="1"/>
        <v>1657203.5697874059</v>
      </c>
      <c r="N15" s="21">
        <f>INDEX('CHIRP Payment Calc'!AM:AM,MATCH(F:F,'CHIRP Payment Calc'!C:C,0))</f>
        <v>0.57000000000000006</v>
      </c>
      <c r="O15" s="141">
        <f>INDEX('CHIRP Payment Calc'!AL:AL,MATCH(F:F,'CHIRP Payment Calc'!C:C,0))</f>
        <v>1.5</v>
      </c>
      <c r="P15" s="138">
        <f t="shared" si="2"/>
        <v>3177080.291534584</v>
      </c>
      <c r="Q15" s="139">
        <f t="shared" si="3"/>
        <v>196527.16590293811</v>
      </c>
      <c r="R15" s="139">
        <f t="shared" si="4"/>
        <v>613381.31568023528</v>
      </c>
      <c r="S15" s="139">
        <f t="shared" si="5"/>
        <v>120386.22002643955</v>
      </c>
      <c r="T15" s="139">
        <f t="shared" si="6"/>
        <v>1742331.3016450396</v>
      </c>
      <c r="U15" s="139">
        <f t="shared" si="7"/>
        <v>897508.62008580752</v>
      </c>
      <c r="V15" s="140">
        <f t="shared" si="8"/>
        <v>3373607.4574375218</v>
      </c>
    </row>
    <row r="16" spans="1:22">
      <c r="D16" s="9" t="s">
        <v>487</v>
      </c>
      <c r="E16" s="9" t="s">
        <v>2279</v>
      </c>
      <c r="F16" s="4" t="s">
        <v>1463</v>
      </c>
      <c r="G16" s="9" t="s">
        <v>2648</v>
      </c>
      <c r="H16" s="138">
        <v>0</v>
      </c>
      <c r="I16" s="139">
        <v>254860.05752999056</v>
      </c>
      <c r="J16" s="139">
        <v>0</v>
      </c>
      <c r="K16" s="139">
        <v>383684.85811595694</v>
      </c>
      <c r="L16" s="139">
        <f t="shared" si="0"/>
        <v>0</v>
      </c>
      <c r="M16" s="140">
        <f t="shared" si="1"/>
        <v>638544.91564594745</v>
      </c>
      <c r="N16" s="21">
        <f>INDEX('CHIRP Payment Calc'!AM:AM,MATCH(F:F,'CHIRP Payment Calc'!C:C,0))</f>
        <v>0.45</v>
      </c>
      <c r="O16" s="141">
        <f>INDEX('CHIRP Payment Calc'!AL:AL,MATCH(F:F,'CHIRP Payment Calc'!C:C,0))</f>
        <v>0.4</v>
      </c>
      <c r="P16" s="138">
        <f t="shared" si="2"/>
        <v>255417.96625837899</v>
      </c>
      <c r="Q16" s="139">
        <f t="shared" si="3"/>
        <v>16015.605772765219</v>
      </c>
      <c r="R16" s="139">
        <f t="shared" si="4"/>
        <v>0</v>
      </c>
      <c r="S16" s="139">
        <f t="shared" si="5"/>
        <v>0</v>
      </c>
      <c r="T16" s="139">
        <f t="shared" si="6"/>
        <v>108163.41964137531</v>
      </c>
      <c r="U16" s="139">
        <f t="shared" si="7"/>
        <v>163270.15238976895</v>
      </c>
      <c r="V16" s="140">
        <f t="shared" si="8"/>
        <v>271433.57203114429</v>
      </c>
    </row>
    <row r="17" spans="4:22">
      <c r="D17" s="9" t="s">
        <v>487</v>
      </c>
      <c r="E17" s="9" t="s">
        <v>2279</v>
      </c>
      <c r="F17" s="4" t="s">
        <v>1295</v>
      </c>
      <c r="G17" s="9" t="s">
        <v>2655</v>
      </c>
      <c r="H17" s="138">
        <v>17169301.725572743</v>
      </c>
      <c r="I17" s="139">
        <v>45235791.774918206</v>
      </c>
      <c r="J17" s="139">
        <v>5722402.7756372029</v>
      </c>
      <c r="K17" s="139">
        <v>14645237.027892245</v>
      </c>
      <c r="L17" s="139">
        <f t="shared" si="0"/>
        <v>22891704.501209944</v>
      </c>
      <c r="M17" s="140">
        <f t="shared" si="1"/>
        <v>59881028.802810453</v>
      </c>
      <c r="N17" s="21">
        <f>INDEX('CHIRP Payment Calc'!AM:AM,MATCH(F:F,'CHIRP Payment Calc'!C:C,0))</f>
        <v>0.53</v>
      </c>
      <c r="O17" s="141">
        <f>INDEX('CHIRP Payment Calc'!AL:AL,MATCH(F:F,'CHIRP Payment Calc'!C:C,0))</f>
        <v>1.29</v>
      </c>
      <c r="P17" s="138">
        <f t="shared" si="2"/>
        <v>89379130.541266769</v>
      </c>
      <c r="Q17" s="139">
        <f t="shared" si="3"/>
        <v>5514707.4652611772</v>
      </c>
      <c r="R17" s="139">
        <f t="shared" si="4"/>
        <v>9654885.8509852029</v>
      </c>
      <c r="S17" s="139">
        <f t="shared" si="5"/>
        <v>3226461.139455019</v>
      </c>
      <c r="T17" s="139">
        <f t="shared" si="6"/>
        <v>61914240.201214314</v>
      </c>
      <c r="U17" s="139">
        <f t="shared" si="7"/>
        <v>20098250.814873401</v>
      </c>
      <c r="V17" s="140">
        <f t="shared" si="8"/>
        <v>94893838.00652793</v>
      </c>
    </row>
    <row r="18" spans="4:22">
      <c r="D18" s="9" t="s">
        <v>487</v>
      </c>
      <c r="E18" s="9" t="s">
        <v>2279</v>
      </c>
      <c r="F18" s="4" t="s">
        <v>866</v>
      </c>
      <c r="G18" s="9" t="s">
        <v>2427</v>
      </c>
      <c r="H18" s="138">
        <v>1631698.8740021004</v>
      </c>
      <c r="I18" s="139">
        <v>7315460.1746461317</v>
      </c>
      <c r="J18" s="139">
        <v>630332.06972057547</v>
      </c>
      <c r="K18" s="139">
        <v>2553582.1915383292</v>
      </c>
      <c r="L18" s="139">
        <f t="shared" si="0"/>
        <v>2262030.943722676</v>
      </c>
      <c r="M18" s="140">
        <f t="shared" si="1"/>
        <v>9869042.3661844619</v>
      </c>
      <c r="N18" s="21">
        <f>INDEX('CHIRP Payment Calc'!AM:AM,MATCH(F:F,'CHIRP Payment Calc'!C:C,0))</f>
        <v>0.56000000000000005</v>
      </c>
      <c r="O18" s="141">
        <f>INDEX('CHIRP Payment Calc'!AL:AL,MATCH(F:F,'CHIRP Payment Calc'!C:C,0))</f>
        <v>1.04</v>
      </c>
      <c r="P18" s="138">
        <f t="shared" si="2"/>
        <v>11530541.38931654</v>
      </c>
      <c r="Q18" s="139">
        <f t="shared" si="3"/>
        <v>711944.85093760071</v>
      </c>
      <c r="R18" s="139">
        <f t="shared" si="4"/>
        <v>969497.47420814459</v>
      </c>
      <c r="S18" s="139">
        <f t="shared" si="5"/>
        <v>375516.97770587483</v>
      </c>
      <c r="T18" s="139">
        <f t="shared" si="6"/>
        <v>8072231.916850904</v>
      </c>
      <c r="U18" s="139">
        <f t="shared" si="7"/>
        <v>2825239.8714892156</v>
      </c>
      <c r="V18" s="140">
        <f t="shared" si="8"/>
        <v>12242486.24025414</v>
      </c>
    </row>
    <row r="19" spans="4:22">
      <c r="D19" s="9" t="s">
        <v>487</v>
      </c>
      <c r="E19" s="9" t="s">
        <v>2279</v>
      </c>
      <c r="F19" s="4" t="s">
        <v>133</v>
      </c>
      <c r="G19" s="9" t="s">
        <v>2791</v>
      </c>
      <c r="H19" s="138">
        <v>4532050.3495618869</v>
      </c>
      <c r="I19" s="139">
        <v>95847.749215854245</v>
      </c>
      <c r="J19" s="139">
        <v>1049942.2778896454</v>
      </c>
      <c r="K19" s="139">
        <v>93253.579489160154</v>
      </c>
      <c r="L19" s="139">
        <f t="shared" si="0"/>
        <v>5581992.6274515325</v>
      </c>
      <c r="M19" s="140">
        <f t="shared" si="1"/>
        <v>189101.3287050144</v>
      </c>
      <c r="N19" s="21">
        <f>INDEX('CHIRP Payment Calc'!AM:AM,MATCH(F:F,'CHIRP Payment Calc'!C:C,0))</f>
        <v>0.65</v>
      </c>
      <c r="O19" s="141">
        <f>INDEX('CHIRP Payment Calc'!AL:AL,MATCH(F:F,'CHIRP Payment Calc'!C:C,0))</f>
        <v>2.2000000000000002</v>
      </c>
      <c r="P19" s="138">
        <f t="shared" si="2"/>
        <v>4044318.1309945281</v>
      </c>
      <c r="Q19" s="139">
        <f t="shared" si="3"/>
        <v>249240.3023522945</v>
      </c>
      <c r="R19" s="139">
        <f t="shared" si="4"/>
        <v>3125551.9652150949</v>
      </c>
      <c r="S19" s="139">
        <f t="shared" si="5"/>
        <v>726023.91556198895</v>
      </c>
      <c r="T19" s="139">
        <f t="shared" si="6"/>
        <v>223729.49419085344</v>
      </c>
      <c r="U19" s="139">
        <f t="shared" si="7"/>
        <v>218253.05837888547</v>
      </c>
      <c r="V19" s="140">
        <f t="shared" si="8"/>
        <v>4293558.4333468229</v>
      </c>
    </row>
    <row r="20" spans="4:22">
      <c r="D20" s="9" t="s">
        <v>487</v>
      </c>
      <c r="E20" s="9" t="s">
        <v>2279</v>
      </c>
      <c r="F20" s="4" t="s">
        <v>1280</v>
      </c>
      <c r="G20" s="9" t="s">
        <v>2824</v>
      </c>
      <c r="H20" s="138">
        <v>3469363.1794017879</v>
      </c>
      <c r="I20" s="139">
        <v>2619248.8797788043</v>
      </c>
      <c r="J20" s="139">
        <v>675871.62828313839</v>
      </c>
      <c r="K20" s="139">
        <v>481646.12089109572</v>
      </c>
      <c r="L20" s="139">
        <f t="shared" si="0"/>
        <v>4145234.8076849263</v>
      </c>
      <c r="M20" s="140">
        <f t="shared" si="1"/>
        <v>3100895.0006698999</v>
      </c>
      <c r="N20" s="21">
        <f>INDEX('CHIRP Payment Calc'!AM:AM,MATCH(F:F,'CHIRP Payment Calc'!C:C,0))</f>
        <v>0.45</v>
      </c>
      <c r="O20" s="141">
        <f>INDEX('CHIRP Payment Calc'!AL:AL,MATCH(F:F,'CHIRP Payment Calc'!C:C,0))</f>
        <v>0.56000000000000005</v>
      </c>
      <c r="P20" s="138">
        <f t="shared" si="2"/>
        <v>3601856.8638333613</v>
      </c>
      <c r="Q20" s="139">
        <f t="shared" si="3"/>
        <v>221361.27731955444</v>
      </c>
      <c r="R20" s="139">
        <f t="shared" si="4"/>
        <v>1656459.8734544346</v>
      </c>
      <c r="S20" s="139">
        <f t="shared" si="5"/>
        <v>323555.56673128967</v>
      </c>
      <c r="T20" s="139">
        <f t="shared" si="6"/>
        <v>1556264.5863937726</v>
      </c>
      <c r="U20" s="139">
        <f t="shared" si="7"/>
        <v>286938.11457341874</v>
      </c>
      <c r="V20" s="140">
        <f t="shared" si="8"/>
        <v>3823218.1411529155</v>
      </c>
    </row>
    <row r="21" spans="4:22">
      <c r="D21" s="9" t="s">
        <v>487</v>
      </c>
      <c r="E21" s="9" t="s">
        <v>2279</v>
      </c>
      <c r="F21" s="4" t="s">
        <v>1204</v>
      </c>
      <c r="G21" s="9" t="s">
        <v>2586</v>
      </c>
      <c r="H21" s="138">
        <v>31717985.115377564</v>
      </c>
      <c r="I21" s="139">
        <v>43834723.694788322</v>
      </c>
      <c r="J21" s="139">
        <v>12855253.001660937</v>
      </c>
      <c r="K21" s="139">
        <v>18604154.582997821</v>
      </c>
      <c r="L21" s="139">
        <f t="shared" si="0"/>
        <v>44573238.117038503</v>
      </c>
      <c r="M21" s="140">
        <f t="shared" si="1"/>
        <v>62438878.277786143</v>
      </c>
      <c r="N21" s="21">
        <f>INDEX('CHIRP Payment Calc'!AM:AM,MATCH(F:F,'CHIRP Payment Calc'!C:C,0))</f>
        <v>0.45</v>
      </c>
      <c r="O21" s="141">
        <f>INDEX('CHIRP Payment Calc'!AL:AL,MATCH(F:F,'CHIRP Payment Calc'!C:C,0))</f>
        <v>0.4</v>
      </c>
      <c r="P21" s="138">
        <f t="shared" si="2"/>
        <v>45033508.463781789</v>
      </c>
      <c r="Q21" s="139">
        <f t="shared" si="3"/>
        <v>2784725.3757856223</v>
      </c>
      <c r="R21" s="139">
        <f t="shared" si="4"/>
        <v>15143865.572328812</v>
      </c>
      <c r="S21" s="139">
        <f t="shared" si="5"/>
        <v>6154110.4795185346</v>
      </c>
      <c r="T21" s="139">
        <f t="shared" si="6"/>
        <v>18603596.263040137</v>
      </c>
      <c r="U21" s="139">
        <f t="shared" si="7"/>
        <v>7916661.5246799253</v>
      </c>
      <c r="V21" s="140">
        <f t="shared" si="8"/>
        <v>47818233.839567408</v>
      </c>
    </row>
    <row r="22" spans="4:22">
      <c r="D22" s="9" t="s">
        <v>487</v>
      </c>
      <c r="E22" s="9" t="s">
        <v>2279</v>
      </c>
      <c r="F22" s="4" t="s">
        <v>2287</v>
      </c>
      <c r="G22" s="9" t="s">
        <v>2881</v>
      </c>
      <c r="H22" s="138">
        <v>0</v>
      </c>
      <c r="I22" s="139">
        <v>0</v>
      </c>
      <c r="J22" s="139">
        <v>0</v>
      </c>
      <c r="K22" s="139">
        <v>0</v>
      </c>
      <c r="L22" s="139">
        <f t="shared" si="0"/>
        <v>0</v>
      </c>
      <c r="M22" s="140">
        <f t="shared" si="1"/>
        <v>0</v>
      </c>
      <c r="N22" s="21">
        <f>INDEX('CHIRP Payment Calc'!AM:AM,MATCH(F:F,'CHIRP Payment Calc'!C:C,0))</f>
        <v>0</v>
      </c>
      <c r="O22" s="141">
        <f>INDEX('CHIRP Payment Calc'!AL:AL,MATCH(F:F,'CHIRP Payment Calc'!C:C,0))</f>
        <v>0</v>
      </c>
      <c r="P22" s="138">
        <f t="shared" si="2"/>
        <v>0</v>
      </c>
      <c r="Q22" s="139">
        <f t="shared" si="3"/>
        <v>0</v>
      </c>
      <c r="R22" s="139">
        <f t="shared" si="4"/>
        <v>0</v>
      </c>
      <c r="S22" s="139">
        <f t="shared" si="5"/>
        <v>0</v>
      </c>
      <c r="T22" s="139">
        <f t="shared" si="6"/>
        <v>0</v>
      </c>
      <c r="U22" s="139">
        <f t="shared" si="7"/>
        <v>0</v>
      </c>
      <c r="V22" s="140">
        <f t="shared" si="8"/>
        <v>0</v>
      </c>
    </row>
    <row r="23" spans="4:22">
      <c r="D23" s="9" t="s">
        <v>487</v>
      </c>
      <c r="E23" s="9" t="s">
        <v>2279</v>
      </c>
      <c r="F23" s="4" t="s">
        <v>1226</v>
      </c>
      <c r="G23" s="9" t="s">
        <v>2915</v>
      </c>
      <c r="H23" s="138">
        <v>2630998.7770918179</v>
      </c>
      <c r="I23" s="139">
        <v>7885668.7349747596</v>
      </c>
      <c r="J23" s="139">
        <v>873892.07428210182</v>
      </c>
      <c r="K23" s="139">
        <v>4084386.8426254974</v>
      </c>
      <c r="L23" s="139">
        <f t="shared" si="0"/>
        <v>3504890.8513739198</v>
      </c>
      <c r="M23" s="140">
        <f t="shared" si="1"/>
        <v>11970055.577600257</v>
      </c>
      <c r="N23" s="21">
        <f>INDEX('CHIRP Payment Calc'!AM:AM,MATCH(F:F,'CHIRP Payment Calc'!C:C,0))</f>
        <v>0.8</v>
      </c>
      <c r="O23" s="141">
        <f>INDEX('CHIRP Payment Calc'!AL:AL,MATCH(F:F,'CHIRP Payment Calc'!C:C,0))</f>
        <v>0.94000000000000006</v>
      </c>
      <c r="P23" s="138">
        <f t="shared" si="2"/>
        <v>14055764.924043378</v>
      </c>
      <c r="Q23" s="139">
        <f t="shared" si="3"/>
        <v>870320.20697926392</v>
      </c>
      <c r="R23" s="139">
        <f t="shared" si="4"/>
        <v>2233208.511059368</v>
      </c>
      <c r="S23" s="139">
        <f t="shared" si="5"/>
        <v>743737.93555923563</v>
      </c>
      <c r="T23" s="139">
        <f t="shared" si="6"/>
        <v>7864751.841778541</v>
      </c>
      <c r="U23" s="139">
        <f t="shared" si="7"/>
        <v>4084386.8426254983</v>
      </c>
      <c r="V23" s="140">
        <f t="shared" si="8"/>
        <v>14926085.131022643</v>
      </c>
    </row>
    <row r="24" spans="4:22">
      <c r="D24" s="9" t="s">
        <v>223</v>
      </c>
      <c r="E24" s="9" t="s">
        <v>1547</v>
      </c>
      <c r="F24" s="4" t="s">
        <v>56</v>
      </c>
      <c r="G24" s="9" t="s">
        <v>2974</v>
      </c>
      <c r="H24" s="138">
        <v>216717544.9842563</v>
      </c>
      <c r="I24" s="139">
        <v>170021041.7755948</v>
      </c>
      <c r="J24" s="139">
        <v>383157.51866886654</v>
      </c>
      <c r="K24" s="139">
        <v>575953.18552819407</v>
      </c>
      <c r="L24" s="139">
        <f t="shared" si="0"/>
        <v>217100702.50292516</v>
      </c>
      <c r="M24" s="140">
        <f t="shared" si="1"/>
        <v>170596994.96112299</v>
      </c>
      <c r="N24" s="21">
        <f>INDEX('CHIRP Payment Calc'!AM:AM,MATCH(F:F,'CHIRP Payment Calc'!C:C,0))</f>
        <v>0.28000000000000003</v>
      </c>
      <c r="O24" s="141">
        <f>INDEX('CHIRP Payment Calc'!AL:AL,MATCH(F:F,'CHIRP Payment Calc'!C:C,0))</f>
        <v>1.05</v>
      </c>
      <c r="P24" s="138">
        <f t="shared" si="2"/>
        <v>239915041.40999818</v>
      </c>
      <c r="Q24" s="139">
        <f t="shared" si="3"/>
        <v>14638735.905621631</v>
      </c>
      <c r="R24" s="139">
        <f t="shared" si="4"/>
        <v>64382931.135906383</v>
      </c>
      <c r="S24" s="139">
        <f t="shared" si="5"/>
        <v>114132.02683753474</v>
      </c>
      <c r="T24" s="139">
        <f t="shared" si="6"/>
        <v>189413362.19031784</v>
      </c>
      <c r="U24" s="139">
        <f t="shared" si="7"/>
        <v>643351.96255808917</v>
      </c>
      <c r="V24" s="140">
        <f t="shared" si="8"/>
        <v>254553777.31561986</v>
      </c>
    </row>
    <row r="25" spans="4:22">
      <c r="D25" s="9" t="s">
        <v>223</v>
      </c>
      <c r="E25" s="9" t="s">
        <v>1547</v>
      </c>
      <c r="F25" s="4" t="s">
        <v>59</v>
      </c>
      <c r="G25" s="9" t="s">
        <v>2572</v>
      </c>
      <c r="H25" s="138">
        <v>56941827.667009622</v>
      </c>
      <c r="I25" s="139">
        <v>12010471.243023837</v>
      </c>
      <c r="J25" s="139">
        <v>13818.308207915612</v>
      </c>
      <c r="K25" s="139">
        <v>0</v>
      </c>
      <c r="L25" s="139">
        <f t="shared" si="0"/>
        <v>56955645.975217536</v>
      </c>
      <c r="M25" s="140">
        <f t="shared" si="1"/>
        <v>12010471.243023837</v>
      </c>
      <c r="N25" s="21">
        <f>INDEX('CHIRP Payment Calc'!AM:AM,MATCH(F:F,'CHIRP Payment Calc'!C:C,0))</f>
        <v>0.27</v>
      </c>
      <c r="O25" s="141">
        <f>INDEX('CHIRP Payment Calc'!AL:AL,MATCH(F:F,'CHIRP Payment Calc'!C:C,0))</f>
        <v>0.71</v>
      </c>
      <c r="P25" s="138">
        <f t="shared" si="2"/>
        <v>23905458.995855659</v>
      </c>
      <c r="Q25" s="139">
        <f t="shared" si="3"/>
        <v>1458433.7559501538</v>
      </c>
      <c r="R25" s="139">
        <f t="shared" si="4"/>
        <v>16312247.7136261</v>
      </c>
      <c r="S25" s="139">
        <f t="shared" si="5"/>
        <v>3969.0885278055484</v>
      </c>
      <c r="T25" s="139">
        <f t="shared" si="6"/>
        <v>9047675.9496519081</v>
      </c>
      <c r="U25" s="139">
        <f t="shared" si="7"/>
        <v>0</v>
      </c>
      <c r="V25" s="140">
        <f t="shared" si="8"/>
        <v>25363892.751805812</v>
      </c>
    </row>
    <row r="26" spans="4:22">
      <c r="D26" s="9" t="s">
        <v>223</v>
      </c>
      <c r="E26" s="9" t="s">
        <v>1547</v>
      </c>
      <c r="F26" s="4" t="s">
        <v>438</v>
      </c>
      <c r="G26" s="9" t="s">
        <v>2918</v>
      </c>
      <c r="H26" s="138">
        <v>2573864.8170426809</v>
      </c>
      <c r="I26" s="139">
        <v>5341525.6297293594</v>
      </c>
      <c r="J26" s="139">
        <v>1155.3613954693676</v>
      </c>
      <c r="K26" s="139">
        <v>22.995761972592021</v>
      </c>
      <c r="L26" s="139">
        <f t="shared" si="0"/>
        <v>2575020.1784381503</v>
      </c>
      <c r="M26" s="140">
        <f t="shared" si="1"/>
        <v>5341548.6254913323</v>
      </c>
      <c r="N26" s="21">
        <f>INDEX('CHIRP Payment Calc'!AM:AM,MATCH(F:F,'CHIRP Payment Calc'!C:C,0))</f>
        <v>0.31</v>
      </c>
      <c r="O26" s="141">
        <f>INDEX('CHIRP Payment Calc'!AL:AL,MATCH(F:F,'CHIRP Payment Calc'!C:C,0))</f>
        <v>0.71</v>
      </c>
      <c r="P26" s="138">
        <f t="shared" si="2"/>
        <v>4590755.7794146724</v>
      </c>
      <c r="Q26" s="139">
        <f t="shared" si="3"/>
        <v>280073.69050163333</v>
      </c>
      <c r="R26" s="139">
        <f t="shared" si="4"/>
        <v>846576.22629520542</v>
      </c>
      <c r="S26" s="139">
        <f t="shared" si="5"/>
        <v>381.0234389313872</v>
      </c>
      <c r="T26" s="139">
        <f t="shared" si="6"/>
        <v>4023854.8510428062</v>
      </c>
      <c r="U26" s="139">
        <f t="shared" si="7"/>
        <v>17.36913936227695</v>
      </c>
      <c r="V26" s="140">
        <f t="shared" si="8"/>
        <v>4870829.4699163055</v>
      </c>
    </row>
    <row r="27" spans="4:22">
      <c r="D27" s="9" t="s">
        <v>223</v>
      </c>
      <c r="E27" s="9" t="s">
        <v>2529</v>
      </c>
      <c r="F27" s="4" t="s">
        <v>1257</v>
      </c>
      <c r="G27" s="9" t="s">
        <v>2571</v>
      </c>
      <c r="H27" s="138">
        <v>0</v>
      </c>
      <c r="I27" s="139">
        <v>1932420.6905834086</v>
      </c>
      <c r="J27" s="139">
        <v>0</v>
      </c>
      <c r="K27" s="139">
        <v>0</v>
      </c>
      <c r="L27" s="139">
        <f t="shared" si="0"/>
        <v>0</v>
      </c>
      <c r="M27" s="140">
        <f t="shared" si="1"/>
        <v>1932420.6905834086</v>
      </c>
      <c r="N27" s="21">
        <f>INDEX('CHIRP Payment Calc'!AM:AM,MATCH(F:F,'CHIRP Payment Calc'!C:C,0))</f>
        <v>0</v>
      </c>
      <c r="O27" s="141">
        <f>INDEX('CHIRP Payment Calc'!AL:AL,MATCH(F:F,'CHIRP Payment Calc'!C:C,0))</f>
        <v>0.26</v>
      </c>
      <c r="P27" s="138">
        <f t="shared" si="2"/>
        <v>502429.37955168623</v>
      </c>
      <c r="Q27" s="139">
        <f t="shared" si="3"/>
        <v>30652.190264426485</v>
      </c>
      <c r="R27" s="139">
        <f t="shared" si="4"/>
        <v>0</v>
      </c>
      <c r="S27" s="139">
        <f t="shared" si="5"/>
        <v>0</v>
      </c>
      <c r="T27" s="139">
        <f t="shared" si="6"/>
        <v>533081.56981611275</v>
      </c>
      <c r="U27" s="139">
        <f t="shared" si="7"/>
        <v>0</v>
      </c>
      <c r="V27" s="140">
        <f t="shared" si="8"/>
        <v>533081.56981611275</v>
      </c>
    </row>
    <row r="28" spans="4:22">
      <c r="D28" s="9" t="s">
        <v>223</v>
      </c>
      <c r="E28" s="9" t="s">
        <v>2529</v>
      </c>
      <c r="F28" s="4" t="s">
        <v>1235</v>
      </c>
      <c r="G28" s="9" t="s">
        <v>2547</v>
      </c>
      <c r="H28" s="138">
        <v>0</v>
      </c>
      <c r="I28" s="139">
        <v>5043225.2916450631</v>
      </c>
      <c r="J28" s="139">
        <v>0</v>
      </c>
      <c r="K28" s="139">
        <v>0</v>
      </c>
      <c r="L28" s="139">
        <f t="shared" si="0"/>
        <v>0</v>
      </c>
      <c r="M28" s="140">
        <f t="shared" si="1"/>
        <v>5043225.2916450631</v>
      </c>
      <c r="N28" s="21">
        <f>INDEX('CHIRP Payment Calc'!AM:AM,MATCH(F:F,'CHIRP Payment Calc'!C:C,0))</f>
        <v>0</v>
      </c>
      <c r="O28" s="141">
        <f>INDEX('CHIRP Payment Calc'!AL:AL,MATCH(F:F,'CHIRP Payment Calc'!C:C,0))</f>
        <v>0.26</v>
      </c>
      <c r="P28" s="138">
        <f t="shared" si="2"/>
        <v>1311238.5758277164</v>
      </c>
      <c r="Q28" s="139">
        <f t="shared" si="3"/>
        <v>79995.987384714797</v>
      </c>
      <c r="R28" s="139">
        <f t="shared" si="4"/>
        <v>0</v>
      </c>
      <c r="S28" s="139">
        <f t="shared" si="5"/>
        <v>0</v>
      </c>
      <c r="T28" s="139">
        <f t="shared" si="6"/>
        <v>1391234.5632124313</v>
      </c>
      <c r="U28" s="139">
        <f t="shared" si="7"/>
        <v>0</v>
      </c>
      <c r="V28" s="140">
        <f t="shared" si="8"/>
        <v>1391234.5632124313</v>
      </c>
    </row>
    <row r="29" spans="4:22">
      <c r="D29" s="9" t="s">
        <v>223</v>
      </c>
      <c r="E29" s="9" t="s">
        <v>2529</v>
      </c>
      <c r="F29" s="4" t="s">
        <v>1251</v>
      </c>
      <c r="G29" s="9" t="s">
        <v>2415</v>
      </c>
      <c r="H29" s="138">
        <v>0</v>
      </c>
      <c r="I29" s="139">
        <v>728535.90859642206</v>
      </c>
      <c r="J29" s="139">
        <v>0</v>
      </c>
      <c r="K29" s="139">
        <v>0</v>
      </c>
      <c r="L29" s="139">
        <f t="shared" si="0"/>
        <v>0</v>
      </c>
      <c r="M29" s="140">
        <f t="shared" si="1"/>
        <v>728535.90859642206</v>
      </c>
      <c r="N29" s="21">
        <f>INDEX('CHIRP Payment Calc'!AM:AM,MATCH(F:F,'CHIRP Payment Calc'!C:C,0))</f>
        <v>0</v>
      </c>
      <c r="O29" s="141">
        <f>INDEX('CHIRP Payment Calc'!AL:AL,MATCH(F:F,'CHIRP Payment Calc'!C:C,0))</f>
        <v>0.26</v>
      </c>
      <c r="P29" s="138">
        <f t="shared" si="2"/>
        <v>189419.33623506973</v>
      </c>
      <c r="Q29" s="139">
        <f t="shared" si="3"/>
        <v>11556.086826012213</v>
      </c>
      <c r="R29" s="139">
        <f t="shared" si="4"/>
        <v>0</v>
      </c>
      <c r="S29" s="139">
        <f t="shared" si="5"/>
        <v>0</v>
      </c>
      <c r="T29" s="139">
        <f t="shared" si="6"/>
        <v>200975.42306108196</v>
      </c>
      <c r="U29" s="139">
        <f t="shared" si="7"/>
        <v>0</v>
      </c>
      <c r="V29" s="140">
        <f t="shared" si="8"/>
        <v>200975.42306108196</v>
      </c>
    </row>
    <row r="30" spans="4:22">
      <c r="D30" s="9" t="s">
        <v>223</v>
      </c>
      <c r="E30" s="9" t="s">
        <v>2529</v>
      </c>
      <c r="F30" s="4" t="s">
        <v>1248</v>
      </c>
      <c r="G30" s="9" t="s">
        <v>2825</v>
      </c>
      <c r="H30" s="138">
        <v>0</v>
      </c>
      <c r="I30" s="139">
        <v>122744.41304202302</v>
      </c>
      <c r="J30" s="139">
        <v>0</v>
      </c>
      <c r="K30" s="139">
        <v>0</v>
      </c>
      <c r="L30" s="139">
        <f t="shared" si="0"/>
        <v>0</v>
      </c>
      <c r="M30" s="140">
        <f t="shared" si="1"/>
        <v>122744.41304202302</v>
      </c>
      <c r="N30" s="21">
        <f>INDEX('CHIRP Payment Calc'!AM:AM,MATCH(F:F,'CHIRP Payment Calc'!C:C,0))</f>
        <v>0</v>
      </c>
      <c r="O30" s="141">
        <f>INDEX('CHIRP Payment Calc'!AL:AL,MATCH(F:F,'CHIRP Payment Calc'!C:C,0))</f>
        <v>0.26</v>
      </c>
      <c r="P30" s="138">
        <f t="shared" si="2"/>
        <v>31913.547390925985</v>
      </c>
      <c r="Q30" s="139">
        <f t="shared" si="3"/>
        <v>1946.9803448045031</v>
      </c>
      <c r="R30" s="139">
        <f t="shared" si="4"/>
        <v>0</v>
      </c>
      <c r="S30" s="139">
        <f t="shared" si="5"/>
        <v>0</v>
      </c>
      <c r="T30" s="139">
        <f t="shared" si="6"/>
        <v>33860.527735730488</v>
      </c>
      <c r="U30" s="139">
        <f t="shared" si="7"/>
        <v>0</v>
      </c>
      <c r="V30" s="140">
        <f t="shared" si="8"/>
        <v>33860.527735730488</v>
      </c>
    </row>
    <row r="31" spans="4:22">
      <c r="D31" s="9" t="s">
        <v>223</v>
      </c>
      <c r="E31" s="9" t="s">
        <v>2291</v>
      </c>
      <c r="F31" s="4" t="s">
        <v>912</v>
      </c>
      <c r="G31" s="9" t="s">
        <v>2443</v>
      </c>
      <c r="H31" s="138">
        <v>2195726.3323216825</v>
      </c>
      <c r="I31" s="139">
        <v>2798257.6451837975</v>
      </c>
      <c r="J31" s="139">
        <v>590298.33315246983</v>
      </c>
      <c r="K31" s="139">
        <v>1040397.3852833365</v>
      </c>
      <c r="L31" s="139">
        <f t="shared" si="0"/>
        <v>2786024.6654741522</v>
      </c>
      <c r="M31" s="140">
        <f t="shared" si="1"/>
        <v>3838655.030467134</v>
      </c>
      <c r="N31" s="21">
        <f>INDEX('CHIRP Payment Calc'!AM:AM,MATCH(F:F,'CHIRP Payment Calc'!C:C,0))</f>
        <v>1.03</v>
      </c>
      <c r="O31" s="141">
        <f>INDEX('CHIRP Payment Calc'!AL:AL,MATCH(F:F,'CHIRP Payment Calc'!C:C,0))</f>
        <v>1.1199999999999999</v>
      </c>
      <c r="P31" s="138">
        <f t="shared" si="2"/>
        <v>7168899.039561566</v>
      </c>
      <c r="Q31" s="139">
        <f t="shared" si="3"/>
        <v>442363.70446973713</v>
      </c>
      <c r="R31" s="139">
        <f t="shared" si="4"/>
        <v>2399573.6045531384</v>
      </c>
      <c r="S31" s="139">
        <f t="shared" si="5"/>
        <v>646816.25866706809</v>
      </c>
      <c r="T31" s="139">
        <f t="shared" si="6"/>
        <v>3325250.4643032919</v>
      </c>
      <c r="U31" s="139">
        <f t="shared" si="7"/>
        <v>1239622.416507805</v>
      </c>
      <c r="V31" s="140">
        <f t="shared" si="8"/>
        <v>7611262.7440313026</v>
      </c>
    </row>
    <row r="32" spans="4:22">
      <c r="D32" s="9" t="s">
        <v>223</v>
      </c>
      <c r="E32" s="9" t="s">
        <v>2950</v>
      </c>
      <c r="F32" s="4" t="s">
        <v>2317</v>
      </c>
      <c r="G32" s="9" t="s">
        <v>2699</v>
      </c>
      <c r="H32" s="138">
        <v>0</v>
      </c>
      <c r="I32" s="139">
        <v>369415.19388908474</v>
      </c>
      <c r="J32" s="139">
        <v>0</v>
      </c>
      <c r="K32" s="139">
        <v>0</v>
      </c>
      <c r="L32" s="139">
        <f t="shared" si="0"/>
        <v>0</v>
      </c>
      <c r="M32" s="140">
        <f t="shared" si="1"/>
        <v>369415.19388908474</v>
      </c>
      <c r="N32" s="21">
        <f>INDEX('CHIRP Payment Calc'!AM:AM,MATCH(F:F,'CHIRP Payment Calc'!C:C,0))</f>
        <v>0</v>
      </c>
      <c r="O32" s="141">
        <f>INDEX('CHIRP Payment Calc'!AL:AL,MATCH(F:F,'CHIRP Payment Calc'!C:C,0))</f>
        <v>3.53</v>
      </c>
      <c r="P32" s="138">
        <f t="shared" si="2"/>
        <v>1304035.634428469</v>
      </c>
      <c r="Q32" s="139">
        <f t="shared" si="3"/>
        <v>79556.550641524649</v>
      </c>
      <c r="R32" s="139">
        <f t="shared" si="4"/>
        <v>0</v>
      </c>
      <c r="S32" s="139">
        <f t="shared" si="5"/>
        <v>0</v>
      </c>
      <c r="T32" s="139">
        <f t="shared" si="6"/>
        <v>1383592.1850699938</v>
      </c>
      <c r="U32" s="139">
        <f t="shared" si="7"/>
        <v>0</v>
      </c>
      <c r="V32" s="140">
        <f t="shared" si="8"/>
        <v>1383592.1850699938</v>
      </c>
    </row>
    <row r="33" spans="4:22">
      <c r="D33" s="9" t="s">
        <v>223</v>
      </c>
      <c r="E33" s="9" t="s">
        <v>2279</v>
      </c>
      <c r="F33" s="4" t="s">
        <v>268</v>
      </c>
      <c r="G33" s="9" t="s">
        <v>2861</v>
      </c>
      <c r="H33" s="138">
        <v>1067720.9166229186</v>
      </c>
      <c r="I33" s="139">
        <v>5103632.0256862668</v>
      </c>
      <c r="J33" s="139">
        <v>742148.41260205302</v>
      </c>
      <c r="K33" s="139">
        <v>1334113.3227835295</v>
      </c>
      <c r="L33" s="139">
        <f t="shared" si="0"/>
        <v>1809869.3292249716</v>
      </c>
      <c r="M33" s="140">
        <f t="shared" si="1"/>
        <v>6437745.3484697966</v>
      </c>
      <c r="N33" s="21">
        <f>INDEX('CHIRP Payment Calc'!AM:AM,MATCH(F:F,'CHIRP Payment Calc'!C:C,0))</f>
        <v>0.74</v>
      </c>
      <c r="O33" s="141">
        <f>INDEX('CHIRP Payment Calc'!AL:AL,MATCH(F:F,'CHIRP Payment Calc'!C:C,0))</f>
        <v>1.57</v>
      </c>
      <c r="P33" s="138">
        <f t="shared" si="2"/>
        <v>11446563.50072406</v>
      </c>
      <c r="Q33" s="139">
        <f t="shared" si="3"/>
        <v>705791.6660865451</v>
      </c>
      <c r="R33" s="139">
        <f t="shared" si="4"/>
        <v>838316.68785247719</v>
      </c>
      <c r="S33" s="139">
        <f t="shared" si="5"/>
        <v>584244.49502714816</v>
      </c>
      <c r="T33" s="139">
        <f t="shared" si="6"/>
        <v>8501540.8809840195</v>
      </c>
      <c r="U33" s="139">
        <f t="shared" si="7"/>
        <v>2228253.102946959</v>
      </c>
      <c r="V33" s="140">
        <f t="shared" si="8"/>
        <v>12152355.166810604</v>
      </c>
    </row>
    <row r="34" spans="4:22">
      <c r="D34" s="9" t="s">
        <v>223</v>
      </c>
      <c r="E34" s="9" t="s">
        <v>2279</v>
      </c>
      <c r="F34" s="4" t="s">
        <v>972</v>
      </c>
      <c r="G34" s="9" t="s">
        <v>2899</v>
      </c>
      <c r="H34" s="138">
        <v>5746777.6857708422</v>
      </c>
      <c r="I34" s="139">
        <v>5888520.8053090172</v>
      </c>
      <c r="J34" s="139">
        <v>2189453.5328112375</v>
      </c>
      <c r="K34" s="139">
        <v>6068609.8754534721</v>
      </c>
      <c r="L34" s="139">
        <f t="shared" si="0"/>
        <v>7936231.2185820797</v>
      </c>
      <c r="M34" s="140">
        <f t="shared" si="1"/>
        <v>11957130.680762488</v>
      </c>
      <c r="N34" s="21">
        <f>INDEX('CHIRP Payment Calc'!AM:AM,MATCH(F:F,'CHIRP Payment Calc'!C:C,0))</f>
        <v>0.39</v>
      </c>
      <c r="O34" s="141">
        <f>INDEX('CHIRP Payment Calc'!AL:AL,MATCH(F:F,'CHIRP Payment Calc'!C:C,0))</f>
        <v>0.54</v>
      </c>
      <c r="P34" s="138">
        <f t="shared" si="2"/>
        <v>9551980.7428587545</v>
      </c>
      <c r="Q34" s="139">
        <f t="shared" si="3"/>
        <v>594403.63415302103</v>
      </c>
      <c r="R34" s="139">
        <f t="shared" si="4"/>
        <v>2377976.9734224174</v>
      </c>
      <c r="S34" s="139">
        <f t="shared" si="5"/>
        <v>908390.29552806669</v>
      </c>
      <c r="T34" s="139">
        <f t="shared" si="6"/>
        <v>3373794.413651851</v>
      </c>
      <c r="U34" s="139">
        <f t="shared" si="7"/>
        <v>3486222.6944094421</v>
      </c>
      <c r="V34" s="140">
        <f t="shared" si="8"/>
        <v>10146384.377011776</v>
      </c>
    </row>
    <row r="35" spans="4:22">
      <c r="D35" s="9" t="s">
        <v>223</v>
      </c>
      <c r="E35" s="9" t="s">
        <v>2279</v>
      </c>
      <c r="F35" s="4" t="s">
        <v>35</v>
      </c>
      <c r="G35" s="9" t="s">
        <v>2846</v>
      </c>
      <c r="H35" s="138">
        <v>453564.68800964416</v>
      </c>
      <c r="I35" s="139">
        <v>1882384.7236445285</v>
      </c>
      <c r="J35" s="139">
        <v>124751.58076944975</v>
      </c>
      <c r="K35" s="139">
        <v>304510.0561890864</v>
      </c>
      <c r="L35" s="139">
        <f t="shared" si="0"/>
        <v>578316.26877909387</v>
      </c>
      <c r="M35" s="140">
        <f t="shared" si="1"/>
        <v>2186894.7798336148</v>
      </c>
      <c r="N35" s="21">
        <f>INDEX('CHIRP Payment Calc'!AM:AM,MATCH(F:F,'CHIRP Payment Calc'!C:C,0))</f>
        <v>2.1</v>
      </c>
      <c r="O35" s="141">
        <f>INDEX('CHIRP Payment Calc'!AL:AL,MATCH(F:F,'CHIRP Payment Calc'!C:C,0))</f>
        <v>1.82</v>
      </c>
      <c r="P35" s="138">
        <f t="shared" si="2"/>
        <v>5194612.6637332765</v>
      </c>
      <c r="Q35" s="139">
        <f t="shared" si="3"/>
        <v>319215.84855746216</v>
      </c>
      <c r="R35" s="139">
        <f t="shared" si="4"/>
        <v>1010595.0608172442</v>
      </c>
      <c r="S35" s="139">
        <f t="shared" si="5"/>
        <v>278700.34001685586</v>
      </c>
      <c r="T35" s="139">
        <f t="shared" si="6"/>
        <v>3634949.8111756416</v>
      </c>
      <c r="U35" s="139">
        <f t="shared" si="7"/>
        <v>589583.30028099718</v>
      </c>
      <c r="V35" s="140">
        <f t="shared" si="8"/>
        <v>5513828.5122907395</v>
      </c>
    </row>
    <row r="36" spans="4:22">
      <c r="D36" s="9" t="s">
        <v>223</v>
      </c>
      <c r="E36" s="9" t="s">
        <v>2279</v>
      </c>
      <c r="F36" s="4" t="s">
        <v>1414</v>
      </c>
      <c r="G36" s="9" t="s">
        <v>2644</v>
      </c>
      <c r="H36" s="138">
        <v>0</v>
      </c>
      <c r="I36" s="139">
        <v>0</v>
      </c>
      <c r="J36" s="139">
        <v>0</v>
      </c>
      <c r="K36" s="139">
        <v>274231.86946788814</v>
      </c>
      <c r="L36" s="139">
        <f t="shared" si="0"/>
        <v>0</v>
      </c>
      <c r="M36" s="140">
        <f t="shared" si="1"/>
        <v>274231.86946788814</v>
      </c>
      <c r="N36" s="21">
        <f>INDEX('CHIRP Payment Calc'!AM:AM,MATCH(F:F,'CHIRP Payment Calc'!C:C,0))</f>
        <v>0.27</v>
      </c>
      <c r="O36" s="141">
        <f>INDEX('CHIRP Payment Calc'!AL:AL,MATCH(F:F,'CHIRP Payment Calc'!C:C,0))</f>
        <v>0.54</v>
      </c>
      <c r="P36" s="138">
        <f t="shared" si="2"/>
        <v>148085.20951265961</v>
      </c>
      <c r="Q36" s="139">
        <f t="shared" si="3"/>
        <v>9452.2474157016786</v>
      </c>
      <c r="R36" s="139">
        <f t="shared" si="4"/>
        <v>0</v>
      </c>
      <c r="S36" s="139">
        <f t="shared" si="5"/>
        <v>0</v>
      </c>
      <c r="T36" s="139">
        <f t="shared" si="6"/>
        <v>0</v>
      </c>
      <c r="U36" s="139">
        <f t="shared" si="7"/>
        <v>157537.45692836129</v>
      </c>
      <c r="V36" s="140">
        <f t="shared" si="8"/>
        <v>157537.45692836129</v>
      </c>
    </row>
    <row r="37" spans="4:22">
      <c r="D37" s="9" t="s">
        <v>223</v>
      </c>
      <c r="E37" s="9" t="s">
        <v>2279</v>
      </c>
      <c r="F37" s="4" t="s">
        <v>784</v>
      </c>
      <c r="G37" s="9" t="s">
        <v>2554</v>
      </c>
      <c r="H37" s="138">
        <v>1925295.2849827525</v>
      </c>
      <c r="I37" s="139">
        <v>5692712.8594586235</v>
      </c>
      <c r="J37" s="139">
        <v>605359.51084417058</v>
      </c>
      <c r="K37" s="139">
        <v>887380.48934463679</v>
      </c>
      <c r="L37" s="139">
        <f t="shared" si="0"/>
        <v>2530654.7958269231</v>
      </c>
      <c r="M37" s="140">
        <f t="shared" si="1"/>
        <v>6580093.3488032604</v>
      </c>
      <c r="N37" s="21">
        <f>INDEX('CHIRP Payment Calc'!AM:AM,MATCH(F:F,'CHIRP Payment Calc'!C:C,0))</f>
        <v>1.52</v>
      </c>
      <c r="O37" s="141">
        <f>INDEX('CHIRP Payment Calc'!AL:AL,MATCH(F:F,'CHIRP Payment Calc'!C:C,0))</f>
        <v>1.33</v>
      </c>
      <c r="P37" s="138">
        <f t="shared" si="2"/>
        <v>12598119.443565261</v>
      </c>
      <c r="Q37" s="139">
        <f t="shared" si="3"/>
        <v>774512.40159487678</v>
      </c>
      <c r="R37" s="139">
        <f t="shared" si="4"/>
        <v>3104985.49938863</v>
      </c>
      <c r="S37" s="139">
        <f t="shared" si="5"/>
        <v>978879.20902461628</v>
      </c>
      <c r="T37" s="139">
        <f t="shared" si="6"/>
        <v>8033218.1465039467</v>
      </c>
      <c r="U37" s="139">
        <f t="shared" si="7"/>
        <v>1255548.9902429436</v>
      </c>
      <c r="V37" s="140">
        <f t="shared" si="8"/>
        <v>13372631.845160136</v>
      </c>
    </row>
    <row r="38" spans="4:22">
      <c r="D38" s="9" t="s">
        <v>223</v>
      </c>
      <c r="E38" s="9" t="s">
        <v>2279</v>
      </c>
      <c r="F38" s="4" t="s">
        <v>519</v>
      </c>
      <c r="G38" s="9" t="s">
        <v>2460</v>
      </c>
      <c r="H38" s="138">
        <v>858636.82556136057</v>
      </c>
      <c r="I38" s="139">
        <v>1752334.8240718234</v>
      </c>
      <c r="J38" s="139">
        <v>475697.38525835349</v>
      </c>
      <c r="K38" s="139">
        <v>399605.74309315428</v>
      </c>
      <c r="L38" s="139">
        <f t="shared" si="0"/>
        <v>1334334.210819714</v>
      </c>
      <c r="M38" s="140">
        <f t="shared" si="1"/>
        <v>2151940.5671649775</v>
      </c>
      <c r="N38" s="21">
        <f>INDEX('CHIRP Payment Calc'!AM:AM,MATCH(F:F,'CHIRP Payment Calc'!C:C,0))</f>
        <v>1.41</v>
      </c>
      <c r="O38" s="141">
        <f>INDEX('CHIRP Payment Calc'!AL:AL,MATCH(F:F,'CHIRP Payment Calc'!C:C,0))</f>
        <v>1.52</v>
      </c>
      <c r="P38" s="138">
        <f t="shared" si="2"/>
        <v>5152360.8993465621</v>
      </c>
      <c r="Q38" s="139">
        <f t="shared" si="3"/>
        <v>317941.69164904498</v>
      </c>
      <c r="R38" s="139">
        <f t="shared" si="4"/>
        <v>1284538.9114498869</v>
      </c>
      <c r="S38" s="139">
        <f t="shared" si="5"/>
        <v>713546.07788753021</v>
      </c>
      <c r="T38" s="139">
        <f t="shared" si="6"/>
        <v>2826046.6128267073</v>
      </c>
      <c r="U38" s="139">
        <f t="shared" si="7"/>
        <v>646170.98883148353</v>
      </c>
      <c r="V38" s="140">
        <f t="shared" si="8"/>
        <v>5470302.5909956079</v>
      </c>
    </row>
    <row r="39" spans="4:22">
      <c r="D39" s="9" t="s">
        <v>223</v>
      </c>
      <c r="E39" s="9" t="s">
        <v>2279</v>
      </c>
      <c r="F39" s="4" t="s">
        <v>875</v>
      </c>
      <c r="G39" s="9" t="s">
        <v>2858</v>
      </c>
      <c r="H39" s="138">
        <v>2543239.5913607599</v>
      </c>
      <c r="I39" s="139">
        <v>6617961.1339735296</v>
      </c>
      <c r="J39" s="139">
        <v>1668181.3912963215</v>
      </c>
      <c r="K39" s="139">
        <v>5742589.2125821626</v>
      </c>
      <c r="L39" s="139">
        <f t="shared" si="0"/>
        <v>4211420.9826570814</v>
      </c>
      <c r="M39" s="140">
        <f t="shared" si="1"/>
        <v>12360550.346555691</v>
      </c>
      <c r="N39" s="21">
        <f>INDEX('CHIRP Payment Calc'!AM:AM,MATCH(F:F,'CHIRP Payment Calc'!C:C,0))</f>
        <v>0.87</v>
      </c>
      <c r="O39" s="141">
        <f>INDEX('CHIRP Payment Calc'!AL:AL,MATCH(F:F,'CHIRP Payment Calc'!C:C,0))</f>
        <v>1.58</v>
      </c>
      <c r="P39" s="138">
        <f t="shared" si="2"/>
        <v>23193605.802469656</v>
      </c>
      <c r="Q39" s="139">
        <f t="shared" si="3"/>
        <v>1444693.1717808612</v>
      </c>
      <c r="R39" s="139">
        <f t="shared" si="4"/>
        <v>2347605.7766407016</v>
      </c>
      <c r="S39" s="139">
        <f t="shared" si="5"/>
        <v>1543955.1174763828</v>
      </c>
      <c r="T39" s="139">
        <f t="shared" si="6"/>
        <v>11094300.893027242</v>
      </c>
      <c r="U39" s="139">
        <f t="shared" si="7"/>
        <v>9652437.1871061902</v>
      </c>
      <c r="V39" s="140">
        <f t="shared" si="8"/>
        <v>24638298.974250518</v>
      </c>
    </row>
    <row r="40" spans="4:22">
      <c r="D40" s="9" t="s">
        <v>223</v>
      </c>
      <c r="E40" s="9" t="s">
        <v>2949</v>
      </c>
      <c r="F40" s="4" t="s">
        <v>466</v>
      </c>
      <c r="G40" s="9" t="s">
        <v>2674</v>
      </c>
      <c r="H40" s="138">
        <v>1187253.5271933665</v>
      </c>
      <c r="I40" s="139">
        <v>7958315.3057584139</v>
      </c>
      <c r="J40" s="139">
        <v>3709425.0603074809</v>
      </c>
      <c r="K40" s="139">
        <v>8855192.1180569902</v>
      </c>
      <c r="L40" s="139">
        <f t="shared" si="0"/>
        <v>4896678.5875008479</v>
      </c>
      <c r="M40" s="140">
        <f t="shared" si="1"/>
        <v>16813507.423815403</v>
      </c>
      <c r="N40" s="21">
        <f>INDEX('CHIRP Payment Calc'!AM:AM,MATCH(F:F,'CHIRP Payment Calc'!C:C,0))</f>
        <v>1.85</v>
      </c>
      <c r="O40" s="141">
        <f>INDEX('CHIRP Payment Calc'!AL:AL,MATCH(F:F,'CHIRP Payment Calc'!C:C,0))</f>
        <v>1.4700000000000002</v>
      </c>
      <c r="P40" s="138">
        <f t="shared" si="2"/>
        <v>33774711.299885213</v>
      </c>
      <c r="Q40" s="139">
        <f t="shared" si="3"/>
        <v>2116622.9106570096</v>
      </c>
      <c r="R40" s="139">
        <f t="shared" si="4"/>
        <v>2330418.0639869799</v>
      </c>
      <c r="S40" s="139">
        <f t="shared" si="5"/>
        <v>7300464.2144349366</v>
      </c>
      <c r="T40" s="139">
        <f t="shared" si="6"/>
        <v>12412438.726222673</v>
      </c>
      <c r="U40" s="139">
        <f t="shared" si="7"/>
        <v>13848013.205897637</v>
      </c>
      <c r="V40" s="140">
        <f t="shared" si="8"/>
        <v>35891334.210542224</v>
      </c>
    </row>
    <row r="41" spans="4:22">
      <c r="D41" s="9" t="s">
        <v>223</v>
      </c>
      <c r="E41" s="9" t="s">
        <v>2279</v>
      </c>
      <c r="F41" s="4" t="s">
        <v>969</v>
      </c>
      <c r="G41" s="9" t="s">
        <v>2622</v>
      </c>
      <c r="H41" s="138">
        <v>95855.529737618344</v>
      </c>
      <c r="I41" s="139">
        <v>0</v>
      </c>
      <c r="J41" s="139">
        <v>1564.9167911836346</v>
      </c>
      <c r="K41" s="139">
        <v>0</v>
      </c>
      <c r="L41" s="139">
        <f t="shared" si="0"/>
        <v>97420.446528801986</v>
      </c>
      <c r="M41" s="140">
        <f t="shared" si="1"/>
        <v>0</v>
      </c>
      <c r="N41" s="21">
        <f>INDEX('CHIRP Payment Calc'!AM:AM,MATCH(F:F,'CHIRP Payment Calc'!C:C,0))</f>
        <v>1.52</v>
      </c>
      <c r="O41" s="141">
        <f>INDEX('CHIRP Payment Calc'!AL:AL,MATCH(F:F,'CHIRP Payment Calc'!C:C,0))</f>
        <v>0.54</v>
      </c>
      <c r="P41" s="138">
        <f t="shared" si="2"/>
        <v>148079.07872377901</v>
      </c>
      <c r="Q41" s="139">
        <f t="shared" si="3"/>
        <v>9040.7143617887632</v>
      </c>
      <c r="R41" s="139">
        <f t="shared" si="4"/>
        <v>154589.28933812189</v>
      </c>
      <c r="S41" s="139">
        <f t="shared" si="5"/>
        <v>2530.5037474458773</v>
      </c>
      <c r="T41" s="139">
        <f t="shared" si="6"/>
        <v>0</v>
      </c>
      <c r="U41" s="139">
        <f t="shared" si="7"/>
        <v>0</v>
      </c>
      <c r="V41" s="140">
        <f t="shared" si="8"/>
        <v>157119.79308556777</v>
      </c>
    </row>
    <row r="42" spans="4:22">
      <c r="D42" s="9" t="s">
        <v>223</v>
      </c>
      <c r="E42" s="9" t="s">
        <v>2279</v>
      </c>
      <c r="F42" s="4" t="s">
        <v>1114</v>
      </c>
      <c r="G42" s="9" t="s">
        <v>2612</v>
      </c>
      <c r="H42" s="138">
        <v>2679318.4202992176</v>
      </c>
      <c r="I42" s="139">
        <v>14569088.830232125</v>
      </c>
      <c r="J42" s="139">
        <v>2363562.33440672</v>
      </c>
      <c r="K42" s="139">
        <v>6817784.2433363628</v>
      </c>
      <c r="L42" s="139">
        <f t="shared" si="0"/>
        <v>5042880.7547059376</v>
      </c>
      <c r="M42" s="140">
        <f t="shared" si="1"/>
        <v>21386873.073568486</v>
      </c>
      <c r="N42" s="21">
        <f>INDEX('CHIRP Payment Calc'!AM:AM,MATCH(F:F,'CHIRP Payment Calc'!C:C,0))</f>
        <v>0.66</v>
      </c>
      <c r="O42" s="141">
        <f>INDEX('CHIRP Payment Calc'!AL:AL,MATCH(F:F,'CHIRP Payment Calc'!C:C,0))</f>
        <v>1.5</v>
      </c>
      <c r="P42" s="138">
        <f t="shared" si="2"/>
        <v>35408610.90845865</v>
      </c>
      <c r="Q42" s="139">
        <f t="shared" si="3"/>
        <v>2193466.8868067865</v>
      </c>
      <c r="R42" s="139">
        <f t="shared" si="4"/>
        <v>1876233.5887506458</v>
      </c>
      <c r="S42" s="139">
        <f t="shared" si="5"/>
        <v>1659522.4901153566</v>
      </c>
      <c r="T42" s="139">
        <f t="shared" si="6"/>
        <v>23186878.774905238</v>
      </c>
      <c r="U42" s="139">
        <f t="shared" si="7"/>
        <v>10879442.941494197</v>
      </c>
      <c r="V42" s="140">
        <f t="shared" si="8"/>
        <v>37602077.795265436</v>
      </c>
    </row>
    <row r="43" spans="4:22">
      <c r="D43" s="9" t="s">
        <v>223</v>
      </c>
      <c r="E43" s="9" t="s">
        <v>2279</v>
      </c>
      <c r="F43" s="4" t="s">
        <v>606</v>
      </c>
      <c r="G43" s="9" t="s">
        <v>2425</v>
      </c>
      <c r="H43" s="138">
        <v>1822991.1390356787</v>
      </c>
      <c r="I43" s="139">
        <v>6471890.2115888186</v>
      </c>
      <c r="J43" s="139">
        <v>465422.70522431744</v>
      </c>
      <c r="K43" s="139">
        <v>2308949.4937938415</v>
      </c>
      <c r="L43" s="139">
        <f t="shared" si="0"/>
        <v>2288413.844259996</v>
      </c>
      <c r="M43" s="140">
        <f t="shared" si="1"/>
        <v>8780839.70538266</v>
      </c>
      <c r="N43" s="21">
        <f>INDEX('CHIRP Payment Calc'!AM:AM,MATCH(F:F,'CHIRP Payment Calc'!C:C,0))</f>
        <v>0.8</v>
      </c>
      <c r="O43" s="141">
        <f>INDEX('CHIRP Payment Calc'!AL:AL,MATCH(F:F,'CHIRP Payment Calc'!C:C,0))</f>
        <v>1.37</v>
      </c>
      <c r="P43" s="138">
        <f t="shared" si="2"/>
        <v>13860481.471782243</v>
      </c>
      <c r="Q43" s="139">
        <f t="shared" si="3"/>
        <v>855576.52347934165</v>
      </c>
      <c r="R43" s="139">
        <f t="shared" si="4"/>
        <v>1547366.4840621147</v>
      </c>
      <c r="S43" s="139">
        <f t="shared" si="5"/>
        <v>396104.42997814255</v>
      </c>
      <c r="T43" s="139">
        <f t="shared" si="6"/>
        <v>9407416.0104792379</v>
      </c>
      <c r="U43" s="139">
        <f t="shared" si="7"/>
        <v>3365171.0707420884</v>
      </c>
      <c r="V43" s="140">
        <f t="shared" si="8"/>
        <v>14716057.995261583</v>
      </c>
    </row>
    <row r="44" spans="4:22">
      <c r="D44" s="9" t="s">
        <v>223</v>
      </c>
      <c r="E44" s="9" t="s">
        <v>2279</v>
      </c>
      <c r="F44" s="4" t="s">
        <v>525</v>
      </c>
      <c r="G44" s="9" t="s">
        <v>2342</v>
      </c>
      <c r="H44" s="138">
        <v>2205397.0471354341</v>
      </c>
      <c r="I44" s="139">
        <v>10816442.617693329</v>
      </c>
      <c r="J44" s="139">
        <v>2899648.9587952686</v>
      </c>
      <c r="K44" s="139">
        <v>15819613.389748562</v>
      </c>
      <c r="L44" s="139">
        <f t="shared" si="0"/>
        <v>5105046.0059307031</v>
      </c>
      <c r="M44" s="140">
        <f t="shared" si="1"/>
        <v>26636056.007441893</v>
      </c>
      <c r="N44" s="21">
        <f>INDEX('CHIRP Payment Calc'!AM:AM,MATCH(F:F,'CHIRP Payment Calc'!C:C,0))</f>
        <v>1.01</v>
      </c>
      <c r="O44" s="141">
        <f>INDEX('CHIRP Payment Calc'!AL:AL,MATCH(F:F,'CHIRP Payment Calc'!C:C,0))</f>
        <v>1.29</v>
      </c>
      <c r="P44" s="138">
        <f t="shared" si="2"/>
        <v>39516608.71559006</v>
      </c>
      <c r="Q44" s="139">
        <f t="shared" si="3"/>
        <v>2476677.6543603363</v>
      </c>
      <c r="R44" s="139">
        <f t="shared" si="4"/>
        <v>2363343.2547552134</v>
      </c>
      <c r="S44" s="139">
        <f t="shared" si="5"/>
        <v>3115580.2642374695</v>
      </c>
      <c r="T44" s="139">
        <f t="shared" si="6"/>
        <v>14804467.879919782</v>
      </c>
      <c r="U44" s="139">
        <f t="shared" si="7"/>
        <v>21709894.971037924</v>
      </c>
      <c r="V44" s="140">
        <f t="shared" si="8"/>
        <v>41993286.369950391</v>
      </c>
    </row>
    <row r="45" spans="4:22">
      <c r="D45" s="9" t="s">
        <v>223</v>
      </c>
      <c r="E45" s="9" t="s">
        <v>2279</v>
      </c>
      <c r="F45" s="4" t="s">
        <v>1120</v>
      </c>
      <c r="G45" s="9" t="s">
        <v>2613</v>
      </c>
      <c r="H45" s="138">
        <v>1130950.7303544155</v>
      </c>
      <c r="I45" s="139">
        <v>39759.214977435542</v>
      </c>
      <c r="J45" s="139">
        <v>560721.09738462698</v>
      </c>
      <c r="K45" s="139">
        <v>91638.486655943227</v>
      </c>
      <c r="L45" s="139">
        <f t="shared" si="0"/>
        <v>1691671.8277390425</v>
      </c>
      <c r="M45" s="140">
        <f t="shared" si="1"/>
        <v>131397.70163337878</v>
      </c>
      <c r="N45" s="21">
        <f>INDEX('CHIRP Payment Calc'!AM:AM,MATCH(F:F,'CHIRP Payment Calc'!C:C,0))</f>
        <v>0.73</v>
      </c>
      <c r="O45" s="141">
        <f>INDEX('CHIRP Payment Calc'!AL:AL,MATCH(F:F,'CHIRP Payment Calc'!C:C,0))</f>
        <v>3.15</v>
      </c>
      <c r="P45" s="138">
        <f t="shared" si="2"/>
        <v>1648823.1943946441</v>
      </c>
      <c r="Q45" s="139">
        <f t="shared" si="3"/>
        <v>102560.93768516622</v>
      </c>
      <c r="R45" s="139">
        <f t="shared" si="4"/>
        <v>875961.83889519714</v>
      </c>
      <c r="S45" s="139">
        <f t="shared" si="5"/>
        <v>435453.61818167835</v>
      </c>
      <c r="T45" s="139">
        <f t="shared" si="6"/>
        <v>132882.25695376334</v>
      </c>
      <c r="U45" s="139">
        <f t="shared" si="7"/>
        <v>307086.41804917145</v>
      </c>
      <c r="V45" s="140">
        <f t="shared" si="8"/>
        <v>1751384.1320798104</v>
      </c>
    </row>
    <row r="46" spans="4:22">
      <c r="D46" s="9" t="s">
        <v>223</v>
      </c>
      <c r="E46" s="9" t="s">
        <v>2279</v>
      </c>
      <c r="F46" s="4" t="s">
        <v>2540</v>
      </c>
      <c r="G46" s="9" t="s">
        <v>2541</v>
      </c>
      <c r="H46" s="138">
        <v>0</v>
      </c>
      <c r="I46" s="139">
        <v>0</v>
      </c>
      <c r="J46" s="139">
        <v>0</v>
      </c>
      <c r="K46" s="139">
        <v>0</v>
      </c>
      <c r="L46" s="139">
        <f t="shared" si="0"/>
        <v>0</v>
      </c>
      <c r="M46" s="140">
        <f t="shared" si="1"/>
        <v>0</v>
      </c>
      <c r="N46" s="21">
        <f>INDEX('CHIRP Payment Calc'!AM:AM,MATCH(F:F,'CHIRP Payment Calc'!C:C,0))</f>
        <v>0.27</v>
      </c>
      <c r="O46" s="141">
        <f>INDEX('CHIRP Payment Calc'!AL:AL,MATCH(F:F,'CHIRP Payment Calc'!C:C,0))</f>
        <v>0.54</v>
      </c>
      <c r="P46" s="138">
        <f t="shared" si="2"/>
        <v>0</v>
      </c>
      <c r="Q46" s="139">
        <f t="shared" si="3"/>
        <v>0</v>
      </c>
      <c r="R46" s="139">
        <f t="shared" si="4"/>
        <v>0</v>
      </c>
      <c r="S46" s="139">
        <f t="shared" si="5"/>
        <v>0</v>
      </c>
      <c r="T46" s="139">
        <f t="shared" si="6"/>
        <v>0</v>
      </c>
      <c r="U46" s="139">
        <f t="shared" si="7"/>
        <v>0</v>
      </c>
      <c r="V46" s="140">
        <f t="shared" si="8"/>
        <v>0</v>
      </c>
    </row>
    <row r="47" spans="4:22">
      <c r="D47" s="9" t="s">
        <v>223</v>
      </c>
      <c r="E47" s="9" t="s">
        <v>2279</v>
      </c>
      <c r="F47" s="4" t="s">
        <v>881</v>
      </c>
      <c r="G47" s="9" t="s">
        <v>2859</v>
      </c>
      <c r="H47" s="138">
        <v>2736975.1337742112</v>
      </c>
      <c r="I47" s="139">
        <v>15059408.097123664</v>
      </c>
      <c r="J47" s="139">
        <v>2181830.7195141106</v>
      </c>
      <c r="K47" s="139">
        <v>8632469.5802766625</v>
      </c>
      <c r="L47" s="139">
        <f t="shared" si="0"/>
        <v>4918805.8532883218</v>
      </c>
      <c r="M47" s="140">
        <f t="shared" si="1"/>
        <v>23691877.677400328</v>
      </c>
      <c r="N47" s="21">
        <f>INDEX('CHIRP Payment Calc'!AM:AM,MATCH(F:F,'CHIRP Payment Calc'!C:C,0))</f>
        <v>1.1299999999999999</v>
      </c>
      <c r="O47" s="141">
        <f>INDEX('CHIRP Payment Calc'!AL:AL,MATCH(F:F,'CHIRP Payment Calc'!C:C,0))</f>
        <v>1.24</v>
      </c>
      <c r="P47" s="138">
        <f t="shared" si="2"/>
        <v>34936178.93419221</v>
      </c>
      <c r="Q47" s="139">
        <f t="shared" si="3"/>
        <v>2168547.6594328955</v>
      </c>
      <c r="R47" s="139">
        <f t="shared" si="4"/>
        <v>3281466.2081324756</v>
      </c>
      <c r="S47" s="139">
        <f t="shared" si="5"/>
        <v>2622839.0564371753</v>
      </c>
      <c r="T47" s="139">
        <f t="shared" si="6"/>
        <v>19812908.265711769</v>
      </c>
      <c r="U47" s="139">
        <f t="shared" si="7"/>
        <v>11387513.063343683</v>
      </c>
      <c r="V47" s="140">
        <f t="shared" si="8"/>
        <v>37104726.593625106</v>
      </c>
    </row>
    <row r="48" spans="4:22">
      <c r="D48" s="9" t="s">
        <v>223</v>
      </c>
      <c r="E48" s="9" t="s">
        <v>2279</v>
      </c>
      <c r="F48" s="4" t="s">
        <v>429</v>
      </c>
      <c r="G48" s="9" t="s">
        <v>2615</v>
      </c>
      <c r="H48" s="138">
        <v>596615.08343401644</v>
      </c>
      <c r="I48" s="139">
        <v>284348.75485310797</v>
      </c>
      <c r="J48" s="139">
        <v>301616.69325266592</v>
      </c>
      <c r="K48" s="139">
        <v>199677.74090002358</v>
      </c>
      <c r="L48" s="139">
        <f t="shared" si="0"/>
        <v>898231.77668668237</v>
      </c>
      <c r="M48" s="140">
        <f t="shared" si="1"/>
        <v>484026.49575313157</v>
      </c>
      <c r="N48" s="21">
        <f>INDEX('CHIRP Payment Calc'!AM:AM,MATCH(F:F,'CHIRP Payment Calc'!C:C,0))</f>
        <v>0.59000000000000008</v>
      </c>
      <c r="O48" s="141">
        <f>INDEX('CHIRP Payment Calc'!AL:AL,MATCH(F:F,'CHIRP Payment Calc'!C:C,0))</f>
        <v>1.73</v>
      </c>
      <c r="P48" s="138">
        <f t="shared" si="2"/>
        <v>1367322.5858980604</v>
      </c>
      <c r="Q48" s="139">
        <f t="shared" si="3"/>
        <v>84894.493616717024</v>
      </c>
      <c r="R48" s="139">
        <f t="shared" si="4"/>
        <v>373477.8771629387</v>
      </c>
      <c r="S48" s="139">
        <f t="shared" si="5"/>
        <v>189312.60533943927</v>
      </c>
      <c r="T48" s="139">
        <f t="shared" si="6"/>
        <v>521934.58450490906</v>
      </c>
      <c r="U48" s="139">
        <f t="shared" si="7"/>
        <v>367492.01250749023</v>
      </c>
      <c r="V48" s="140">
        <f t="shared" si="8"/>
        <v>1452217.0795147773</v>
      </c>
    </row>
    <row r="49" spans="4:22">
      <c r="D49" s="9" t="s">
        <v>223</v>
      </c>
      <c r="E49" s="9" t="s">
        <v>2279</v>
      </c>
      <c r="F49" s="4" t="s">
        <v>763</v>
      </c>
      <c r="G49" s="9" t="s">
        <v>2459</v>
      </c>
      <c r="H49" s="138">
        <v>3833605.4338308256</v>
      </c>
      <c r="I49" s="139">
        <v>5967748.9132560166</v>
      </c>
      <c r="J49" s="139">
        <v>1220240.0011494858</v>
      </c>
      <c r="K49" s="139">
        <v>1517207.1539980713</v>
      </c>
      <c r="L49" s="139">
        <f t="shared" si="0"/>
        <v>5053845.4349803114</v>
      </c>
      <c r="M49" s="140">
        <f t="shared" si="1"/>
        <v>7484956.0672540879</v>
      </c>
      <c r="N49" s="21">
        <f>INDEX('CHIRP Payment Calc'!AM:AM,MATCH(F:F,'CHIRP Payment Calc'!C:C,0))</f>
        <v>0.33</v>
      </c>
      <c r="O49" s="141">
        <f>INDEX('CHIRP Payment Calc'!AL:AL,MATCH(F:F,'CHIRP Payment Calc'!C:C,0))</f>
        <v>0.71000000000000008</v>
      </c>
      <c r="P49" s="138">
        <f t="shared" si="2"/>
        <v>6982087.8012939058</v>
      </c>
      <c r="Q49" s="139">
        <f t="shared" si="3"/>
        <v>430138.93149639422</v>
      </c>
      <c r="R49" s="139">
        <f t="shared" si="4"/>
        <v>1342270.337574719</v>
      </c>
      <c r="S49" s="139">
        <f t="shared" si="5"/>
        <v>428382.12806311739</v>
      </c>
      <c r="T49" s="139">
        <f t="shared" si="6"/>
        <v>4495598.6508347709</v>
      </c>
      <c r="U49" s="139">
        <f t="shared" si="7"/>
        <v>1145975.6163176922</v>
      </c>
      <c r="V49" s="140">
        <f t="shared" si="8"/>
        <v>7412226.7327902997</v>
      </c>
    </row>
    <row r="50" spans="4:22">
      <c r="D50" s="9" t="s">
        <v>223</v>
      </c>
      <c r="E50" s="9" t="s">
        <v>2279</v>
      </c>
      <c r="F50" s="4" t="s">
        <v>26</v>
      </c>
      <c r="G50" s="9" t="s">
        <v>2842</v>
      </c>
      <c r="H50" s="138">
        <v>0</v>
      </c>
      <c r="I50" s="139">
        <v>0</v>
      </c>
      <c r="J50" s="139">
        <v>8791.8278504024711</v>
      </c>
      <c r="K50" s="139">
        <v>135081.12524784618</v>
      </c>
      <c r="L50" s="139">
        <f t="shared" si="0"/>
        <v>8791.8278504024711</v>
      </c>
      <c r="M50" s="140">
        <f t="shared" si="1"/>
        <v>135081.12524784618</v>
      </c>
      <c r="N50" s="21">
        <f>INDEX('CHIRP Payment Calc'!AM:AM,MATCH(F:F,'CHIRP Payment Calc'!C:C,0))</f>
        <v>30.58</v>
      </c>
      <c r="O50" s="141">
        <f>INDEX('CHIRP Payment Calc'!AL:AL,MATCH(F:F,'CHIRP Payment Calc'!C:C,0))</f>
        <v>6.99</v>
      </c>
      <c r="P50" s="138">
        <f t="shared" si="2"/>
        <v>1213071.1611477523</v>
      </c>
      <c r="Q50" s="139">
        <f t="shared" si="3"/>
        <v>77430.074115814001</v>
      </c>
      <c r="R50" s="139">
        <f t="shared" si="4"/>
        <v>0</v>
      </c>
      <c r="S50" s="139">
        <f t="shared" si="5"/>
        <v>286014.99538862507</v>
      </c>
      <c r="T50" s="139">
        <f t="shared" si="6"/>
        <v>0</v>
      </c>
      <c r="U50" s="139">
        <f t="shared" si="7"/>
        <v>1004486.2398749413</v>
      </c>
      <c r="V50" s="140">
        <f t="shared" si="8"/>
        <v>1290501.2352635665</v>
      </c>
    </row>
    <row r="51" spans="4:22">
      <c r="D51" s="9" t="s">
        <v>223</v>
      </c>
      <c r="E51" s="9" t="s">
        <v>2279</v>
      </c>
      <c r="F51" s="4" t="s">
        <v>366</v>
      </c>
      <c r="G51" s="9" t="s">
        <v>2620</v>
      </c>
      <c r="H51" s="138">
        <v>1111225.9949588317</v>
      </c>
      <c r="I51" s="139">
        <v>440013.68212322163</v>
      </c>
      <c r="J51" s="139">
        <v>469975.17214801937</v>
      </c>
      <c r="K51" s="139">
        <v>239098.42577203343</v>
      </c>
      <c r="L51" s="139">
        <f t="shared" si="0"/>
        <v>1581201.167106851</v>
      </c>
      <c r="M51" s="140">
        <f t="shared" si="1"/>
        <v>679112.10789525509</v>
      </c>
      <c r="N51" s="21">
        <f>INDEX('CHIRP Payment Calc'!AM:AM,MATCH(F:F,'CHIRP Payment Calc'!C:C,0))</f>
        <v>0.74</v>
      </c>
      <c r="O51" s="141">
        <f>INDEX('CHIRP Payment Calc'!AL:AL,MATCH(F:F,'CHIRP Payment Calc'!C:C,0))</f>
        <v>2.0099999999999998</v>
      </c>
      <c r="P51" s="138">
        <f t="shared" si="2"/>
        <v>2535104.2005285323</v>
      </c>
      <c r="Q51" s="139">
        <f t="shared" si="3"/>
        <v>156999.04700778314</v>
      </c>
      <c r="R51" s="139">
        <f t="shared" si="4"/>
        <v>872474.5212408863</v>
      </c>
      <c r="S51" s="139">
        <f t="shared" si="5"/>
        <v>369980.45466971735</v>
      </c>
      <c r="T51" s="139">
        <f t="shared" si="6"/>
        <v>938384.61651742749</v>
      </c>
      <c r="U51" s="139">
        <f t="shared" si="7"/>
        <v>511263.65510828421</v>
      </c>
      <c r="V51" s="140">
        <f t="shared" si="8"/>
        <v>2692103.2475363151</v>
      </c>
    </row>
    <row r="52" spans="4:22">
      <c r="D52" s="9" t="s">
        <v>223</v>
      </c>
      <c r="E52" s="9" t="s">
        <v>2279</v>
      </c>
      <c r="F52" s="4" t="s">
        <v>522</v>
      </c>
      <c r="G52" s="9" t="s">
        <v>2847</v>
      </c>
      <c r="H52" s="138">
        <v>0</v>
      </c>
      <c r="I52" s="139">
        <v>0</v>
      </c>
      <c r="J52" s="139">
        <v>62812.434663711341</v>
      </c>
      <c r="K52" s="139">
        <v>199858.08835886751</v>
      </c>
      <c r="L52" s="139">
        <f t="shared" si="0"/>
        <v>62812.434663711341</v>
      </c>
      <c r="M52" s="140">
        <f t="shared" si="1"/>
        <v>199858.08835886751</v>
      </c>
      <c r="N52" s="21">
        <f>INDEX('CHIRP Payment Calc'!AM:AM,MATCH(F:F,'CHIRP Payment Calc'!C:C,0))</f>
        <v>3.88</v>
      </c>
      <c r="O52" s="141">
        <f>INDEX('CHIRP Payment Calc'!AL:AL,MATCH(F:F,'CHIRP Payment Calc'!C:C,0))</f>
        <v>5.31</v>
      </c>
      <c r="P52" s="138">
        <f t="shared" si="2"/>
        <v>1304958.6956807864</v>
      </c>
      <c r="Q52" s="139">
        <f t="shared" si="3"/>
        <v>83295.235894518293</v>
      </c>
      <c r="R52" s="139">
        <f t="shared" si="4"/>
        <v>0</v>
      </c>
      <c r="S52" s="139">
        <f t="shared" si="5"/>
        <v>259268.34733531918</v>
      </c>
      <c r="T52" s="139">
        <f t="shared" si="6"/>
        <v>0</v>
      </c>
      <c r="U52" s="139">
        <f t="shared" si="7"/>
        <v>1128985.5842399856</v>
      </c>
      <c r="V52" s="140">
        <f t="shared" si="8"/>
        <v>1388253.9315753048</v>
      </c>
    </row>
    <row r="53" spans="4:22">
      <c r="D53" s="9" t="s">
        <v>223</v>
      </c>
      <c r="E53" s="9" t="s">
        <v>2279</v>
      </c>
      <c r="F53" s="4" t="s">
        <v>109</v>
      </c>
      <c r="G53" s="9" t="s">
        <v>2418</v>
      </c>
      <c r="H53" s="138">
        <v>4500621.0790499132</v>
      </c>
      <c r="I53" s="139">
        <v>36253185.32007654</v>
      </c>
      <c r="J53" s="139">
        <v>2500204.0997918262</v>
      </c>
      <c r="K53" s="139">
        <v>9432965.6104957741</v>
      </c>
      <c r="L53" s="139">
        <f t="shared" si="0"/>
        <v>7000825.1788417399</v>
      </c>
      <c r="M53" s="140">
        <f t="shared" si="1"/>
        <v>45686150.930572316</v>
      </c>
      <c r="N53" s="21">
        <f>INDEX('CHIRP Payment Calc'!AM:AM,MATCH(F:F,'CHIRP Payment Calc'!C:C,0))</f>
        <v>0.84</v>
      </c>
      <c r="O53" s="141">
        <f>INDEX('CHIRP Payment Calc'!AL:AL,MATCH(F:F,'CHIRP Payment Calc'!C:C,0))</f>
        <v>1.95</v>
      </c>
      <c r="P53" s="138">
        <f t="shared" si="2"/>
        <v>94968687.464843065</v>
      </c>
      <c r="Q53" s="139">
        <f t="shared" si="3"/>
        <v>5851677.5138952518</v>
      </c>
      <c r="R53" s="139">
        <f t="shared" si="4"/>
        <v>4011163.614219551</v>
      </c>
      <c r="S53" s="139">
        <f t="shared" si="5"/>
        <v>2234224.9402395044</v>
      </c>
      <c r="T53" s="139">
        <f t="shared" si="6"/>
        <v>75006590.31739974</v>
      </c>
      <c r="U53" s="139">
        <f t="shared" si="7"/>
        <v>19568386.106879532</v>
      </c>
      <c r="V53" s="140">
        <f t="shared" si="8"/>
        <v>100820364.97873832</v>
      </c>
    </row>
    <row r="54" spans="4:22">
      <c r="D54" s="9" t="s">
        <v>223</v>
      </c>
      <c r="E54" s="9" t="s">
        <v>2279</v>
      </c>
      <c r="F54" s="4" t="s">
        <v>633</v>
      </c>
      <c r="G54" s="9" t="s">
        <v>2417</v>
      </c>
      <c r="H54" s="138">
        <v>1260236.731019526</v>
      </c>
      <c r="I54" s="139">
        <v>7367272.8300143955</v>
      </c>
      <c r="J54" s="139">
        <v>560985.43289606506</v>
      </c>
      <c r="K54" s="139">
        <v>4175394.5762510053</v>
      </c>
      <c r="L54" s="139">
        <f t="shared" si="0"/>
        <v>1821222.1639155911</v>
      </c>
      <c r="M54" s="140">
        <f t="shared" si="1"/>
        <v>11542667.4062654</v>
      </c>
      <c r="N54" s="21">
        <f>INDEX('CHIRP Payment Calc'!AM:AM,MATCH(F:F,'CHIRP Payment Calc'!C:C,0))</f>
        <v>0.83000000000000007</v>
      </c>
      <c r="O54" s="141">
        <f>INDEX('CHIRP Payment Calc'!AL:AL,MATCH(F:F,'CHIRP Payment Calc'!C:C,0))</f>
        <v>1.6300000000000001</v>
      </c>
      <c r="P54" s="138">
        <f t="shared" si="2"/>
        <v>20326162.268262543</v>
      </c>
      <c r="Q54" s="139">
        <f t="shared" si="3"/>
        <v>1260576.6107241637</v>
      </c>
      <c r="R54" s="139">
        <f t="shared" si="4"/>
        <v>1109810.5960171954</v>
      </c>
      <c r="S54" s="139">
        <f t="shared" si="5"/>
        <v>495338.20138695114</v>
      </c>
      <c r="T54" s="139">
        <f t="shared" si="6"/>
        <v>12741278.209998371</v>
      </c>
      <c r="U54" s="139">
        <f t="shared" si="7"/>
        <v>7240311.8715841901</v>
      </c>
      <c r="V54" s="140">
        <f t="shared" si="8"/>
        <v>21586738.878986709</v>
      </c>
    </row>
    <row r="55" spans="4:22">
      <c r="D55" s="9" t="s">
        <v>223</v>
      </c>
      <c r="E55" s="9" t="s">
        <v>2279</v>
      </c>
      <c r="F55" s="4" t="s">
        <v>354</v>
      </c>
      <c r="G55" s="9" t="s">
        <v>2930</v>
      </c>
      <c r="H55" s="138">
        <v>451763.78664072842</v>
      </c>
      <c r="I55" s="139">
        <v>14433.102868617105</v>
      </c>
      <c r="J55" s="139">
        <v>125220.35926550625</v>
      </c>
      <c r="K55" s="139">
        <v>71167.784369687535</v>
      </c>
      <c r="L55" s="139">
        <f t="shared" si="0"/>
        <v>576984.14590623463</v>
      </c>
      <c r="M55" s="140">
        <f t="shared" si="1"/>
        <v>85600.88723830464</v>
      </c>
      <c r="N55" s="21">
        <f>INDEX('CHIRP Payment Calc'!AM:AM,MATCH(F:F,'CHIRP Payment Calc'!C:C,0))</f>
        <v>0.74</v>
      </c>
      <c r="O55" s="141">
        <f>INDEX('CHIRP Payment Calc'!AL:AL,MATCH(F:F,'CHIRP Payment Calc'!C:C,0))</f>
        <v>1.6500000000000001</v>
      </c>
      <c r="P55" s="138">
        <f t="shared" si="2"/>
        <v>568209.7319138163</v>
      </c>
      <c r="Q55" s="139">
        <f t="shared" si="3"/>
        <v>35258.153152105559</v>
      </c>
      <c r="R55" s="139">
        <f t="shared" si="4"/>
        <v>354700.47969669924</v>
      </c>
      <c r="S55" s="139">
        <f t="shared" si="5"/>
        <v>98577.729634547475</v>
      </c>
      <c r="T55" s="139">
        <f t="shared" si="6"/>
        <v>25267.501043202359</v>
      </c>
      <c r="U55" s="139">
        <f t="shared" si="7"/>
        <v>124922.17469147281</v>
      </c>
      <c r="V55" s="140">
        <f t="shared" si="8"/>
        <v>603467.88506592193</v>
      </c>
    </row>
    <row r="56" spans="4:22">
      <c r="D56" s="9" t="s">
        <v>223</v>
      </c>
      <c r="E56" s="9" t="s">
        <v>2279</v>
      </c>
      <c r="F56" s="4" t="s">
        <v>1445</v>
      </c>
      <c r="G56" s="9" t="s">
        <v>2646</v>
      </c>
      <c r="H56" s="138">
        <v>0</v>
      </c>
      <c r="I56" s="139">
        <v>0</v>
      </c>
      <c r="J56" s="139">
        <v>0</v>
      </c>
      <c r="K56" s="139">
        <v>59243.757363560289</v>
      </c>
      <c r="L56" s="139">
        <f t="shared" si="0"/>
        <v>0</v>
      </c>
      <c r="M56" s="140">
        <f t="shared" si="1"/>
        <v>59243.757363560289</v>
      </c>
      <c r="N56" s="21">
        <f>INDEX('CHIRP Payment Calc'!AM:AM,MATCH(F:F,'CHIRP Payment Calc'!C:C,0))</f>
        <v>0.27</v>
      </c>
      <c r="O56" s="141">
        <f>INDEX('CHIRP Payment Calc'!AL:AL,MATCH(F:F,'CHIRP Payment Calc'!C:C,0))</f>
        <v>0.56000000000000005</v>
      </c>
      <c r="P56" s="138">
        <f t="shared" si="2"/>
        <v>33176.504123593768</v>
      </c>
      <c r="Q56" s="139">
        <f t="shared" si="3"/>
        <v>2117.6491993783261</v>
      </c>
      <c r="R56" s="139">
        <f t="shared" si="4"/>
        <v>0</v>
      </c>
      <c r="S56" s="139">
        <f t="shared" si="5"/>
        <v>0</v>
      </c>
      <c r="T56" s="139">
        <f t="shared" si="6"/>
        <v>0</v>
      </c>
      <c r="U56" s="139">
        <f t="shared" si="7"/>
        <v>35294.153322972095</v>
      </c>
      <c r="V56" s="140">
        <f t="shared" si="8"/>
        <v>35294.153322972095</v>
      </c>
    </row>
    <row r="57" spans="4:22">
      <c r="D57" s="9" t="s">
        <v>223</v>
      </c>
      <c r="E57" s="9" t="s">
        <v>2279</v>
      </c>
      <c r="F57" s="4" t="s">
        <v>479</v>
      </c>
      <c r="G57" s="9" t="s">
        <v>2614</v>
      </c>
      <c r="H57" s="138">
        <v>1454783.8061449607</v>
      </c>
      <c r="I57" s="139">
        <v>8677992.7122144923</v>
      </c>
      <c r="J57" s="139">
        <v>403060.8475450984</v>
      </c>
      <c r="K57" s="139">
        <v>977964.15392470954</v>
      </c>
      <c r="L57" s="139">
        <f t="shared" si="0"/>
        <v>1857844.6536900592</v>
      </c>
      <c r="M57" s="140">
        <f t="shared" si="1"/>
        <v>9655956.8661392014</v>
      </c>
      <c r="N57" s="21">
        <f>INDEX('CHIRP Payment Calc'!AM:AM,MATCH(F:F,'CHIRP Payment Calc'!C:C,0))</f>
        <v>0.74</v>
      </c>
      <c r="O57" s="141">
        <f>INDEX('CHIRP Payment Calc'!AL:AL,MATCH(F:F,'CHIRP Payment Calc'!C:C,0))</f>
        <v>2.0099999999999998</v>
      </c>
      <c r="P57" s="138">
        <f t="shared" si="2"/>
        <v>20783278.344670437</v>
      </c>
      <c r="Q57" s="139">
        <f t="shared" si="3"/>
        <v>1274333.9093299478</v>
      </c>
      <c r="R57" s="139">
        <f t="shared" si="4"/>
        <v>1142217.5241880859</v>
      </c>
      <c r="S57" s="139">
        <f t="shared" si="5"/>
        <v>317303.22040784342</v>
      </c>
      <c r="T57" s="139">
        <f t="shared" si="6"/>
        <v>18506912.839842044</v>
      </c>
      <c r="U57" s="139">
        <f t="shared" si="7"/>
        <v>2091178.6695624106</v>
      </c>
      <c r="V57" s="140">
        <f t="shared" si="8"/>
        <v>22057612.254000384</v>
      </c>
    </row>
    <row r="58" spans="4:22">
      <c r="D58" s="9" t="s">
        <v>223</v>
      </c>
      <c r="E58" s="9" t="s">
        <v>2279</v>
      </c>
      <c r="F58" s="4" t="s">
        <v>981</v>
      </c>
      <c r="G58" s="9" t="s">
        <v>2898</v>
      </c>
      <c r="H58" s="138">
        <v>2530205.8648299198</v>
      </c>
      <c r="I58" s="139">
        <v>3785092.2645452349</v>
      </c>
      <c r="J58" s="139">
        <v>202013.95535045143</v>
      </c>
      <c r="K58" s="139">
        <v>1294843.4516201126</v>
      </c>
      <c r="L58" s="139">
        <f t="shared" si="0"/>
        <v>2732219.8201803714</v>
      </c>
      <c r="M58" s="140">
        <f t="shared" si="1"/>
        <v>5079935.716165347</v>
      </c>
      <c r="N58" s="21">
        <f>INDEX('CHIRP Payment Calc'!AM:AM,MATCH(F:F,'CHIRP Payment Calc'!C:C,0))</f>
        <v>1.3900000000000001</v>
      </c>
      <c r="O58" s="141">
        <f>INDEX('CHIRP Payment Calc'!AL:AL,MATCH(F:F,'CHIRP Payment Calc'!C:C,0))</f>
        <v>1.6300000000000001</v>
      </c>
      <c r="P58" s="138">
        <f t="shared" si="2"/>
        <v>12078080.767400233</v>
      </c>
      <c r="Q58" s="139">
        <f t="shared" si="3"/>
        <v>743607.14604455943</v>
      </c>
      <c r="R58" s="139">
        <f t="shared" si="4"/>
        <v>3731550.2940197228</v>
      </c>
      <c r="S58" s="139">
        <f t="shared" si="5"/>
        <v>298722.76376290165</v>
      </c>
      <c r="T58" s="139">
        <f t="shared" si="6"/>
        <v>6546101.2108315472</v>
      </c>
      <c r="U58" s="139">
        <f t="shared" si="7"/>
        <v>2245313.6448306208</v>
      </c>
      <c r="V58" s="140">
        <f t="shared" si="8"/>
        <v>12821687.913444791</v>
      </c>
    </row>
    <row r="59" spans="4:22">
      <c r="D59" s="9" t="s">
        <v>223</v>
      </c>
      <c r="E59" s="9" t="s">
        <v>2279</v>
      </c>
      <c r="F59" s="4" t="s">
        <v>38</v>
      </c>
      <c r="G59" s="9" t="s">
        <v>2848</v>
      </c>
      <c r="H59" s="138">
        <v>269779.76959456399</v>
      </c>
      <c r="I59" s="139">
        <v>402064.37298405007</v>
      </c>
      <c r="J59" s="139">
        <v>46105.131549993894</v>
      </c>
      <c r="K59" s="139">
        <v>106384.08162703172</v>
      </c>
      <c r="L59" s="139">
        <f t="shared" si="0"/>
        <v>315884.90114455787</v>
      </c>
      <c r="M59" s="140">
        <f t="shared" si="1"/>
        <v>508448.4546110818</v>
      </c>
      <c r="N59" s="21">
        <f>INDEX('CHIRP Payment Calc'!AM:AM,MATCH(F:F,'CHIRP Payment Calc'!C:C,0))</f>
        <v>1.1099999999999999</v>
      </c>
      <c r="O59" s="141">
        <f>INDEX('CHIRP Payment Calc'!AL:AL,MATCH(F:F,'CHIRP Payment Calc'!C:C,0))</f>
        <v>1.98</v>
      </c>
      <c r="P59" s="138">
        <f t="shared" si="2"/>
        <v>1357360.1804004011</v>
      </c>
      <c r="Q59" s="139">
        <f t="shared" si="3"/>
        <v>83548.575760197215</v>
      </c>
      <c r="R59" s="139">
        <f t="shared" si="4"/>
        <v>317724.71538457926</v>
      </c>
      <c r="S59" s="139">
        <f t="shared" si="5"/>
        <v>54443.293638822572</v>
      </c>
      <c r="T59" s="139">
        <f t="shared" si="6"/>
        <v>844655.12839089567</v>
      </c>
      <c r="U59" s="139">
        <f t="shared" si="7"/>
        <v>224085.61874630084</v>
      </c>
      <c r="V59" s="140">
        <f t="shared" si="8"/>
        <v>1440908.7561605985</v>
      </c>
    </row>
    <row r="60" spans="4:22">
      <c r="D60" s="9" t="s">
        <v>223</v>
      </c>
      <c r="E60" s="9" t="s">
        <v>2279</v>
      </c>
      <c r="F60" s="4" t="s">
        <v>681</v>
      </c>
      <c r="G60" s="9" t="s">
        <v>1733</v>
      </c>
      <c r="H60" s="138">
        <v>532207.88234229083</v>
      </c>
      <c r="I60" s="139">
        <v>55334.83402637799</v>
      </c>
      <c r="J60" s="139">
        <v>344225.88206197333</v>
      </c>
      <c r="K60" s="139">
        <v>884415.94367393525</v>
      </c>
      <c r="L60" s="139">
        <f t="shared" si="0"/>
        <v>876433.76440426416</v>
      </c>
      <c r="M60" s="140">
        <f t="shared" si="1"/>
        <v>939750.77770031325</v>
      </c>
      <c r="N60" s="21">
        <f>INDEX('CHIRP Payment Calc'!AM:AM,MATCH(F:F,'CHIRP Payment Calc'!C:C,0))</f>
        <v>0.95000000000000007</v>
      </c>
      <c r="O60" s="141">
        <f>INDEX('CHIRP Payment Calc'!AL:AL,MATCH(F:F,'CHIRP Payment Calc'!C:C,0))</f>
        <v>0.70000000000000007</v>
      </c>
      <c r="P60" s="138">
        <f t="shared" si="2"/>
        <v>1490437.6205742704</v>
      </c>
      <c r="Q60" s="139">
        <f t="shared" si="3"/>
        <v>93598.304377635184</v>
      </c>
      <c r="R60" s="139">
        <f t="shared" si="4"/>
        <v>536442.95832909958</v>
      </c>
      <c r="S60" s="139">
        <f t="shared" si="5"/>
        <v>347887.85953071777</v>
      </c>
      <c r="T60" s="139">
        <f t="shared" si="6"/>
        <v>41097.489462561905</v>
      </c>
      <c r="U60" s="139">
        <f t="shared" si="7"/>
        <v>658607.6176295263</v>
      </c>
      <c r="V60" s="140">
        <f t="shared" si="8"/>
        <v>1584035.9249519054</v>
      </c>
    </row>
    <row r="61" spans="4:22">
      <c r="D61" s="9" t="s">
        <v>223</v>
      </c>
      <c r="E61" s="9" t="s">
        <v>2279</v>
      </c>
      <c r="F61" s="4" t="s">
        <v>630</v>
      </c>
      <c r="G61" s="9" t="s">
        <v>2414</v>
      </c>
      <c r="H61" s="138">
        <v>1013695.5057466411</v>
      </c>
      <c r="I61" s="139">
        <v>4672771.2663108185</v>
      </c>
      <c r="J61" s="139">
        <v>237970.18886695406</v>
      </c>
      <c r="K61" s="139">
        <v>354702.47066094278</v>
      </c>
      <c r="L61" s="139">
        <f t="shared" si="0"/>
        <v>1251665.694613595</v>
      </c>
      <c r="M61" s="140">
        <f t="shared" si="1"/>
        <v>5027473.7369717611</v>
      </c>
      <c r="N61" s="21">
        <f>INDEX('CHIRP Payment Calc'!AM:AM,MATCH(F:F,'CHIRP Payment Calc'!C:C,0))</f>
        <v>0.59000000000000008</v>
      </c>
      <c r="O61" s="141">
        <f>INDEX('CHIRP Payment Calc'!AL:AL,MATCH(F:F,'CHIRP Payment Calc'!C:C,0))</f>
        <v>1.1200000000000001</v>
      </c>
      <c r="P61" s="138">
        <f t="shared" si="2"/>
        <v>6369253.345230394</v>
      </c>
      <c r="Q61" s="139">
        <f t="shared" si="3"/>
        <v>390092.34861575958</v>
      </c>
      <c r="R61" s="139">
        <f t="shared" si="4"/>
        <v>634568.00890240667</v>
      </c>
      <c r="S61" s="139">
        <f t="shared" si="5"/>
        <v>149364.26748032228</v>
      </c>
      <c r="T61" s="139">
        <f t="shared" si="6"/>
        <v>5552789.1971014505</v>
      </c>
      <c r="U61" s="139">
        <f t="shared" si="7"/>
        <v>422624.22036197444</v>
      </c>
      <c r="V61" s="140">
        <f t="shared" si="8"/>
        <v>6759345.6938461531</v>
      </c>
    </row>
    <row r="62" spans="4:22">
      <c r="D62" s="9" t="s">
        <v>223</v>
      </c>
      <c r="E62" s="9" t="s">
        <v>2279</v>
      </c>
      <c r="F62" s="4" t="s">
        <v>1641</v>
      </c>
      <c r="G62" s="9" t="s">
        <v>2589</v>
      </c>
      <c r="H62" s="138">
        <v>59364005.083294809</v>
      </c>
      <c r="I62" s="139">
        <v>49547095.254339479</v>
      </c>
      <c r="J62" s="139">
        <v>29920728.455434714</v>
      </c>
      <c r="K62" s="139">
        <v>21028393.799874853</v>
      </c>
      <c r="L62" s="139">
        <f t="shared" si="0"/>
        <v>89284733.538729519</v>
      </c>
      <c r="M62" s="140">
        <f t="shared" si="1"/>
        <v>70575489.054214329</v>
      </c>
      <c r="N62" s="21">
        <f>INDEX('CHIRP Payment Calc'!AM:AM,MATCH(F:F,'CHIRP Payment Calc'!C:C,0))</f>
        <v>0.58000000000000007</v>
      </c>
      <c r="O62" s="141">
        <f>INDEX('CHIRP Payment Calc'!AL:AL,MATCH(F:F,'CHIRP Payment Calc'!C:C,0))</f>
        <v>0.84000000000000008</v>
      </c>
      <c r="P62" s="138">
        <f t="shared" si="2"/>
        <v>111068556.25800318</v>
      </c>
      <c r="Q62" s="139">
        <f t="shared" si="3"/>
        <v>6874880.2404031716</v>
      </c>
      <c r="R62" s="139">
        <f t="shared" si="4"/>
        <v>36531695.435873732</v>
      </c>
      <c r="S62" s="139">
        <f t="shared" si="5"/>
        <v>18461726.068246953</v>
      </c>
      <c r="T62" s="139">
        <f t="shared" si="6"/>
        <v>44158684.364610262</v>
      </c>
      <c r="U62" s="139">
        <f t="shared" si="7"/>
        <v>18791330.629675403</v>
      </c>
      <c r="V62" s="140">
        <f t="shared" si="8"/>
        <v>117943436.49840635</v>
      </c>
    </row>
    <row r="63" spans="4:22">
      <c r="D63" s="9" t="s">
        <v>223</v>
      </c>
      <c r="E63" s="9" t="s">
        <v>2279</v>
      </c>
      <c r="F63" s="4" t="s">
        <v>432</v>
      </c>
      <c r="G63" s="9" t="s">
        <v>2856</v>
      </c>
      <c r="H63" s="138">
        <v>0</v>
      </c>
      <c r="I63" s="139">
        <v>0</v>
      </c>
      <c r="J63" s="139">
        <v>27340.878047426977</v>
      </c>
      <c r="K63" s="139">
        <v>113795.05673101092</v>
      </c>
      <c r="L63" s="139">
        <f t="shared" si="0"/>
        <v>27340.878047426977</v>
      </c>
      <c r="M63" s="140">
        <f t="shared" si="1"/>
        <v>113795.05673101092</v>
      </c>
      <c r="N63" s="21">
        <f>INDEX('CHIRP Payment Calc'!AM:AM,MATCH(F:F,'CHIRP Payment Calc'!C:C,0))</f>
        <v>13.12</v>
      </c>
      <c r="O63" s="141">
        <f>INDEX('CHIRP Payment Calc'!AL:AL,MATCH(F:F,'CHIRP Payment Calc'!C:C,0))</f>
        <v>13.780000000000001</v>
      </c>
      <c r="P63" s="138">
        <f t="shared" si="2"/>
        <v>1926808.2017355724</v>
      </c>
      <c r="Q63" s="139">
        <f t="shared" si="3"/>
        <v>122987.75755758975</v>
      </c>
      <c r="R63" s="139">
        <f t="shared" si="4"/>
        <v>0</v>
      </c>
      <c r="S63" s="139">
        <f t="shared" si="5"/>
        <v>381608.85104493826</v>
      </c>
      <c r="T63" s="139">
        <f t="shared" si="6"/>
        <v>0</v>
      </c>
      <c r="U63" s="139">
        <f t="shared" si="7"/>
        <v>1668187.108248224</v>
      </c>
      <c r="V63" s="140">
        <f t="shared" si="8"/>
        <v>2049795.9592931622</v>
      </c>
    </row>
    <row r="64" spans="4:22">
      <c r="D64" s="9" t="s">
        <v>223</v>
      </c>
      <c r="E64" s="9" t="s">
        <v>2279</v>
      </c>
      <c r="F64" s="4" t="s">
        <v>1438</v>
      </c>
      <c r="G64" s="9" t="s">
        <v>2637</v>
      </c>
      <c r="H64" s="138">
        <v>0</v>
      </c>
      <c r="I64" s="139">
        <v>0</v>
      </c>
      <c r="J64" s="139">
        <v>0</v>
      </c>
      <c r="K64" s="139">
        <v>295026.35670838726</v>
      </c>
      <c r="L64" s="139">
        <f t="shared" si="0"/>
        <v>0</v>
      </c>
      <c r="M64" s="140">
        <f t="shared" si="1"/>
        <v>295026.35670838726</v>
      </c>
      <c r="N64" s="21">
        <f>INDEX('CHIRP Payment Calc'!AM:AM,MATCH(F:F,'CHIRP Payment Calc'!C:C,0))</f>
        <v>0.27</v>
      </c>
      <c r="O64" s="141">
        <f>INDEX('CHIRP Payment Calc'!AL:AL,MATCH(F:F,'CHIRP Payment Calc'!C:C,0))</f>
        <v>0.54</v>
      </c>
      <c r="P64" s="138">
        <f t="shared" si="2"/>
        <v>159314.23262252912</v>
      </c>
      <c r="Q64" s="139">
        <f t="shared" si="3"/>
        <v>10168.993571650797</v>
      </c>
      <c r="R64" s="139">
        <f t="shared" si="4"/>
        <v>0</v>
      </c>
      <c r="S64" s="139">
        <f t="shared" si="5"/>
        <v>0</v>
      </c>
      <c r="T64" s="139">
        <f t="shared" si="6"/>
        <v>0</v>
      </c>
      <c r="U64" s="139">
        <f t="shared" si="7"/>
        <v>169483.22619417994</v>
      </c>
      <c r="V64" s="140">
        <f t="shared" si="8"/>
        <v>169483.22619417994</v>
      </c>
    </row>
    <row r="65" spans="4:22">
      <c r="D65" s="9" t="s">
        <v>223</v>
      </c>
      <c r="E65" s="9" t="s">
        <v>2279</v>
      </c>
      <c r="F65" s="4" t="s">
        <v>32</v>
      </c>
      <c r="G65" s="9" t="s">
        <v>2845</v>
      </c>
      <c r="H65" s="138">
        <v>1465648.8934438934</v>
      </c>
      <c r="I65" s="139">
        <v>3376637.9844503948</v>
      </c>
      <c r="J65" s="139">
        <v>249928.05632530744</v>
      </c>
      <c r="K65" s="139">
        <v>957635.93571936339</v>
      </c>
      <c r="L65" s="139">
        <f t="shared" si="0"/>
        <v>1715576.9497692008</v>
      </c>
      <c r="M65" s="140">
        <f t="shared" si="1"/>
        <v>4334273.9201697577</v>
      </c>
      <c r="N65" s="21">
        <f>INDEX('CHIRP Payment Calc'!AM:AM,MATCH(F:F,'CHIRP Payment Calc'!C:C,0))</f>
        <v>1.77</v>
      </c>
      <c r="O65" s="141">
        <f>INDEX('CHIRP Payment Calc'!AL:AL,MATCH(F:F,'CHIRP Payment Calc'!C:C,0))</f>
        <v>1.69</v>
      </c>
      <c r="P65" s="138">
        <f t="shared" si="2"/>
        <v>10361494.126178376</v>
      </c>
      <c r="Q65" s="139">
        <f t="shared" si="3"/>
        <v>637948.75669913099</v>
      </c>
      <c r="R65" s="139">
        <f t="shared" si="4"/>
        <v>2752465.295910548</v>
      </c>
      <c r="S65" s="139">
        <f t="shared" si="5"/>
        <v>470609.21244233428</v>
      </c>
      <c r="T65" s="139">
        <f t="shared" si="6"/>
        <v>6054661.2134972587</v>
      </c>
      <c r="U65" s="139">
        <f t="shared" si="7"/>
        <v>1721707.1610273663</v>
      </c>
      <c r="V65" s="140">
        <f t="shared" si="8"/>
        <v>10999442.882877508</v>
      </c>
    </row>
    <row r="66" spans="4:22">
      <c r="D66" s="9" t="s">
        <v>1189</v>
      </c>
      <c r="E66" s="9" t="s">
        <v>1547</v>
      </c>
      <c r="F66" s="4" t="s">
        <v>127</v>
      </c>
      <c r="G66" s="9" t="s">
        <v>2975</v>
      </c>
      <c r="H66" s="138">
        <v>5735067.7933307597</v>
      </c>
      <c r="I66" s="139">
        <v>28095118.076886572</v>
      </c>
      <c r="J66" s="139">
        <v>24133.617687268121</v>
      </c>
      <c r="K66" s="139">
        <v>146962.96909394063</v>
      </c>
      <c r="L66" s="139">
        <f t="shared" si="0"/>
        <v>5759201.4110180279</v>
      </c>
      <c r="M66" s="140">
        <f t="shared" si="1"/>
        <v>28242081.045980513</v>
      </c>
      <c r="N66" s="21">
        <f>INDEX('CHIRP Payment Calc'!AM:AM,MATCH(F:F,'CHIRP Payment Calc'!C:C,0))</f>
        <v>2.12</v>
      </c>
      <c r="O66" s="141">
        <f>INDEX('CHIRP Payment Calc'!AL:AL,MATCH(F:F,'CHIRP Payment Calc'!C:C,0))</f>
        <v>0.42</v>
      </c>
      <c r="P66" s="138">
        <f t="shared" si="2"/>
        <v>24071181.030670036</v>
      </c>
      <c r="Q66" s="139">
        <f t="shared" si="3"/>
        <v>1468852.1406388697</v>
      </c>
      <c r="R66" s="139">
        <f t="shared" si="4"/>
        <v>12900099.439640542</v>
      </c>
      <c r="S66" s="139">
        <f t="shared" si="5"/>
        <v>54429.010103200453</v>
      </c>
      <c r="T66" s="139">
        <f t="shared" si="6"/>
        <v>12519840.416225316</v>
      </c>
      <c r="U66" s="139">
        <f t="shared" si="7"/>
        <v>65664.305339845814</v>
      </c>
      <c r="V66" s="140">
        <f t="shared" si="8"/>
        <v>25540033.171308905</v>
      </c>
    </row>
    <row r="67" spans="4:22">
      <c r="D67" s="9" t="s">
        <v>1189</v>
      </c>
      <c r="E67" s="9" t="s">
        <v>2529</v>
      </c>
      <c r="F67" s="4" t="s">
        <v>1496</v>
      </c>
      <c r="G67" s="9" t="s">
        <v>2532</v>
      </c>
      <c r="H67" s="138">
        <v>0</v>
      </c>
      <c r="I67" s="139">
        <v>1111777.1805466441</v>
      </c>
      <c r="J67" s="139">
        <v>0</v>
      </c>
      <c r="K67" s="139">
        <v>0</v>
      </c>
      <c r="L67" s="139">
        <f t="shared" si="0"/>
        <v>0</v>
      </c>
      <c r="M67" s="140">
        <f t="shared" si="1"/>
        <v>1111777.1805466441</v>
      </c>
      <c r="N67" s="21">
        <f>INDEX('CHIRP Payment Calc'!AM:AM,MATCH(F:F,'CHIRP Payment Calc'!C:C,0))</f>
        <v>0</v>
      </c>
      <c r="O67" s="141">
        <f>INDEX('CHIRP Payment Calc'!AL:AL,MATCH(F:F,'CHIRP Payment Calc'!C:C,0))</f>
        <v>0.02</v>
      </c>
      <c r="P67" s="138">
        <f t="shared" si="2"/>
        <v>22235.543610932884</v>
      </c>
      <c r="Q67" s="139">
        <f t="shared" si="3"/>
        <v>1356.5451009322451</v>
      </c>
      <c r="R67" s="139">
        <f t="shared" si="4"/>
        <v>0</v>
      </c>
      <c r="S67" s="139">
        <f t="shared" si="5"/>
        <v>0</v>
      </c>
      <c r="T67" s="139">
        <f t="shared" si="6"/>
        <v>23592.08871186513</v>
      </c>
      <c r="U67" s="139">
        <f t="shared" si="7"/>
        <v>0</v>
      </c>
      <c r="V67" s="140">
        <f t="shared" si="8"/>
        <v>23592.08871186513</v>
      </c>
    </row>
    <row r="68" spans="4:22">
      <c r="D68" s="9" t="s">
        <v>1189</v>
      </c>
      <c r="E68" s="9" t="s">
        <v>2529</v>
      </c>
      <c r="F68" s="4" t="s">
        <v>1349</v>
      </c>
      <c r="G68" s="9" t="s">
        <v>2835</v>
      </c>
      <c r="H68" s="138">
        <v>0</v>
      </c>
      <c r="I68" s="139">
        <v>4493867.2808380695</v>
      </c>
      <c r="J68" s="139">
        <v>0</v>
      </c>
      <c r="K68" s="139">
        <v>0</v>
      </c>
      <c r="L68" s="139">
        <f t="shared" si="0"/>
        <v>0</v>
      </c>
      <c r="M68" s="140">
        <f t="shared" si="1"/>
        <v>4493867.2808380695</v>
      </c>
      <c r="N68" s="21">
        <f>INDEX('CHIRP Payment Calc'!AM:AM,MATCH(F:F,'CHIRP Payment Calc'!C:C,0))</f>
        <v>0</v>
      </c>
      <c r="O68" s="141">
        <f>INDEX('CHIRP Payment Calc'!AL:AL,MATCH(F:F,'CHIRP Payment Calc'!C:C,0))</f>
        <v>0.13</v>
      </c>
      <c r="P68" s="138">
        <f t="shared" si="2"/>
        <v>584202.74650894909</v>
      </c>
      <c r="Q68" s="139">
        <f t="shared" si="3"/>
        <v>35641.016365267453</v>
      </c>
      <c r="R68" s="139">
        <f t="shared" si="4"/>
        <v>0</v>
      </c>
      <c r="S68" s="139">
        <f t="shared" si="5"/>
        <v>0</v>
      </c>
      <c r="T68" s="139">
        <f t="shared" si="6"/>
        <v>619843.76287421654</v>
      </c>
      <c r="U68" s="139">
        <f t="shared" si="7"/>
        <v>0</v>
      </c>
      <c r="V68" s="140">
        <f t="shared" si="8"/>
        <v>619843.76287421654</v>
      </c>
    </row>
    <row r="69" spans="4:22">
      <c r="D69" s="9" t="s">
        <v>1189</v>
      </c>
      <c r="E69" s="9" t="s">
        <v>2950</v>
      </c>
      <c r="F69" s="4" t="s">
        <v>2315</v>
      </c>
      <c r="G69" s="9" t="s">
        <v>2697</v>
      </c>
      <c r="H69" s="138">
        <v>0</v>
      </c>
      <c r="I69" s="139">
        <v>282075.11969408276</v>
      </c>
      <c r="J69" s="139">
        <v>0</v>
      </c>
      <c r="K69" s="139">
        <v>0</v>
      </c>
      <c r="L69" s="139">
        <f t="shared" si="0"/>
        <v>0</v>
      </c>
      <c r="M69" s="140">
        <f t="shared" si="1"/>
        <v>282075.11969408276</v>
      </c>
      <c r="N69" s="21">
        <f>INDEX('CHIRP Payment Calc'!AM:AM,MATCH(F:F,'CHIRP Payment Calc'!C:C,0))</f>
        <v>0</v>
      </c>
      <c r="O69" s="141">
        <f>INDEX('CHIRP Payment Calc'!AL:AL,MATCH(F:F,'CHIRP Payment Calc'!C:C,0))</f>
        <v>0.19</v>
      </c>
      <c r="P69" s="138">
        <f t="shared" si="2"/>
        <v>53594.272741875728</v>
      </c>
      <c r="Q69" s="139">
        <f t="shared" si="3"/>
        <v>3269.6771168783603</v>
      </c>
      <c r="R69" s="139">
        <f t="shared" si="4"/>
        <v>0</v>
      </c>
      <c r="S69" s="139">
        <f t="shared" si="5"/>
        <v>0</v>
      </c>
      <c r="T69" s="139">
        <f t="shared" si="6"/>
        <v>56863.949858754087</v>
      </c>
      <c r="U69" s="139">
        <f t="shared" si="7"/>
        <v>0</v>
      </c>
      <c r="V69" s="140">
        <f t="shared" si="8"/>
        <v>56863.949858754087</v>
      </c>
    </row>
    <row r="70" spans="4:22">
      <c r="D70" s="9" t="s">
        <v>1189</v>
      </c>
      <c r="E70" s="9" t="s">
        <v>2279</v>
      </c>
      <c r="F70" s="4" t="s">
        <v>166</v>
      </c>
      <c r="G70" s="9" t="s">
        <v>2747</v>
      </c>
      <c r="H70" s="138">
        <v>4293950.7208715035</v>
      </c>
      <c r="I70" s="139">
        <v>25065.506935839541</v>
      </c>
      <c r="J70" s="139">
        <v>673564.17240564304</v>
      </c>
      <c r="K70" s="139">
        <v>23925.026321988749</v>
      </c>
      <c r="L70" s="139">
        <f t="shared" ref="L70:L132" si="9">H70+J70</f>
        <v>4967514.8932771469</v>
      </c>
      <c r="M70" s="140">
        <f t="shared" ref="M70:M132" si="10">I70+K70</f>
        <v>48990.533257828291</v>
      </c>
      <c r="N70" s="21">
        <f>INDEX('CHIRP Payment Calc'!AM:AM,MATCH(F:F,'CHIRP Payment Calc'!C:C,0))</f>
        <v>0.52</v>
      </c>
      <c r="O70" s="141">
        <f>INDEX('CHIRP Payment Calc'!AL:AL,MATCH(F:F,'CHIRP Payment Calc'!C:C,0))</f>
        <v>2.42</v>
      </c>
      <c r="P70" s="138">
        <f t="shared" ref="P70:P132" si="11">(L70*N70)+(M70*O70)</f>
        <v>2701664.8349880609</v>
      </c>
      <c r="Q70" s="139">
        <f t="shared" ref="Q70:Q132" si="12">(R70+T70)*$B$10+(S70+U70)*$B$11</f>
        <v>165974.78883061127</v>
      </c>
      <c r="R70" s="139">
        <f t="shared" ref="R70:R132" si="13">H70/(1-$B$10)*N70</f>
        <v>2369076.2597911744</v>
      </c>
      <c r="S70" s="139">
        <f t="shared" ref="S70:S132" si="14">J70/(1-$B$11)*N70</f>
        <v>372609.96771375998</v>
      </c>
      <c r="T70" s="139">
        <f t="shared" ref="T70:T132" si="15">I70/(1-$B$10)*O70</f>
        <v>64359.179612447413</v>
      </c>
      <c r="U70" s="139">
        <f t="shared" ref="U70:U132" si="16">K70/(1-$B$11)*O70</f>
        <v>61594.216701290192</v>
      </c>
      <c r="V70" s="140">
        <f t="shared" ref="V70:V132" si="17">SUM(R70:U70)</f>
        <v>2867639.6238186718</v>
      </c>
    </row>
    <row r="71" spans="4:22">
      <c r="D71" s="9" t="s">
        <v>1189</v>
      </c>
      <c r="E71" s="9" t="s">
        <v>2279</v>
      </c>
      <c r="F71" s="4" t="s">
        <v>1616</v>
      </c>
      <c r="G71" s="9" t="s">
        <v>2660</v>
      </c>
      <c r="H71" s="138">
        <v>996943.60479701834</v>
      </c>
      <c r="I71" s="139">
        <v>361457.45584713685</v>
      </c>
      <c r="J71" s="139">
        <v>479048.80859305232</v>
      </c>
      <c r="K71" s="139">
        <v>1438977.6667449123</v>
      </c>
      <c r="L71" s="139">
        <f t="shared" si="9"/>
        <v>1475992.4133900707</v>
      </c>
      <c r="M71" s="140">
        <f t="shared" si="10"/>
        <v>1800435.1225920492</v>
      </c>
      <c r="N71" s="21">
        <f>INDEX('CHIRP Payment Calc'!AM:AM,MATCH(F:F,'CHIRP Payment Calc'!C:C,0))</f>
        <v>1.43</v>
      </c>
      <c r="O71" s="141">
        <f>INDEX('CHIRP Payment Calc'!AL:AL,MATCH(F:F,'CHIRP Payment Calc'!C:C,0))</f>
        <v>2.92</v>
      </c>
      <c r="P71" s="138">
        <f t="shared" si="11"/>
        <v>7367939.7091165837</v>
      </c>
      <c r="Q71" s="139">
        <f t="shared" si="12"/>
        <v>463292.8243531909</v>
      </c>
      <c r="R71" s="139">
        <f t="shared" si="13"/>
        <v>1512604.0900368553</v>
      </c>
      <c r="S71" s="139">
        <f t="shared" si="14"/>
        <v>728765.74073198379</v>
      </c>
      <c r="T71" s="139">
        <f t="shared" si="15"/>
        <v>1119846.9719614214</v>
      </c>
      <c r="U71" s="139">
        <f t="shared" si="16"/>
        <v>4470015.7307395153</v>
      </c>
      <c r="V71" s="140">
        <f t="shared" si="17"/>
        <v>7831232.5334697757</v>
      </c>
    </row>
    <row r="72" spans="4:22">
      <c r="D72" s="9" t="s">
        <v>1189</v>
      </c>
      <c r="E72" s="9" t="s">
        <v>2279</v>
      </c>
      <c r="F72" s="4" t="s">
        <v>702</v>
      </c>
      <c r="G72" s="9" t="s">
        <v>2923</v>
      </c>
      <c r="H72" s="138">
        <v>4681987.9788533468</v>
      </c>
      <c r="I72" s="139">
        <v>6121547.9572055349</v>
      </c>
      <c r="J72" s="139">
        <v>4918743.0376644768</v>
      </c>
      <c r="K72" s="139">
        <v>3536274.5962536987</v>
      </c>
      <c r="L72" s="139">
        <f t="shared" si="9"/>
        <v>9600731.0165178236</v>
      </c>
      <c r="M72" s="140">
        <f t="shared" si="10"/>
        <v>9657822.5534592345</v>
      </c>
      <c r="N72" s="21">
        <f>INDEX('CHIRP Payment Calc'!AM:AM,MATCH(F:F,'CHIRP Payment Calc'!C:C,0))</f>
        <v>0.51</v>
      </c>
      <c r="O72" s="141">
        <f>INDEX('CHIRP Payment Calc'!AL:AL,MATCH(F:F,'CHIRP Payment Calc'!C:C,0))</f>
        <v>0.09</v>
      </c>
      <c r="P72" s="138">
        <f t="shared" si="11"/>
        <v>5765576.8482354209</v>
      </c>
      <c r="Q72" s="139">
        <f t="shared" si="12"/>
        <v>359722.88256030681</v>
      </c>
      <c r="R72" s="139">
        <f t="shared" si="13"/>
        <v>2533489.5164087075</v>
      </c>
      <c r="S72" s="139">
        <f t="shared" si="14"/>
        <v>2668679.7332009398</v>
      </c>
      <c r="T72" s="139">
        <f t="shared" si="15"/>
        <v>584550.99856604578</v>
      </c>
      <c r="U72" s="139">
        <f t="shared" si="16"/>
        <v>338579.48262003501</v>
      </c>
      <c r="V72" s="140">
        <f t="shared" si="17"/>
        <v>6125299.730795728</v>
      </c>
    </row>
    <row r="73" spans="4:22">
      <c r="D73" s="9" t="s">
        <v>1189</v>
      </c>
      <c r="E73" s="9" t="s">
        <v>2279</v>
      </c>
      <c r="F73" s="4" t="s">
        <v>1084</v>
      </c>
      <c r="G73" s="9" t="s">
        <v>2652</v>
      </c>
      <c r="H73" s="138">
        <v>1181486.2648864111</v>
      </c>
      <c r="I73" s="139">
        <v>1046995.2384489971</v>
      </c>
      <c r="J73" s="139">
        <v>212821.4959492881</v>
      </c>
      <c r="K73" s="139">
        <v>725292.6873896505</v>
      </c>
      <c r="L73" s="139">
        <f t="shared" si="9"/>
        <v>1394307.7608356993</v>
      </c>
      <c r="M73" s="140">
        <f t="shared" si="10"/>
        <v>1772287.9258386476</v>
      </c>
      <c r="N73" s="21">
        <f>INDEX('CHIRP Payment Calc'!AM:AM,MATCH(F:F,'CHIRP Payment Calc'!C:C,0))</f>
        <v>1.01</v>
      </c>
      <c r="O73" s="141">
        <f>INDEX('CHIRP Payment Calc'!AL:AL,MATCH(F:F,'CHIRP Payment Calc'!C:C,0))</f>
        <v>2.0099999999999998</v>
      </c>
      <c r="P73" s="138">
        <f t="shared" si="11"/>
        <v>4970549.5693797376</v>
      </c>
      <c r="Q73" s="139">
        <f t="shared" si="12"/>
        <v>307963.40002977569</v>
      </c>
      <c r="R73" s="139">
        <f t="shared" si="13"/>
        <v>1266101.9920798677</v>
      </c>
      <c r="S73" s="139">
        <f t="shared" si="14"/>
        <v>228669.90522210745</v>
      </c>
      <c r="T73" s="139">
        <f t="shared" si="15"/>
        <v>2232849.2618381791</v>
      </c>
      <c r="U73" s="139">
        <f t="shared" si="16"/>
        <v>1550891.810269359</v>
      </c>
      <c r="V73" s="140">
        <f t="shared" si="17"/>
        <v>5278512.9694095133</v>
      </c>
    </row>
    <row r="74" spans="4:22">
      <c r="D74" s="9" t="s">
        <v>1189</v>
      </c>
      <c r="E74" s="9" t="s">
        <v>2279</v>
      </c>
      <c r="F74" s="4" t="s">
        <v>1600</v>
      </c>
      <c r="G74" s="9" t="s">
        <v>2641</v>
      </c>
      <c r="H74" s="138">
        <v>6857870.4406058537</v>
      </c>
      <c r="I74" s="139">
        <v>18723547.654256914</v>
      </c>
      <c r="J74" s="139">
        <v>1806397.997551586</v>
      </c>
      <c r="K74" s="139">
        <v>1360007.5033280111</v>
      </c>
      <c r="L74" s="139">
        <f t="shared" si="9"/>
        <v>8664268.4381574392</v>
      </c>
      <c r="M74" s="140">
        <f t="shared" si="10"/>
        <v>20083555.157584924</v>
      </c>
      <c r="N74" s="21">
        <f>INDEX('CHIRP Payment Calc'!AM:AM,MATCH(F:F,'CHIRP Payment Calc'!C:C,0))</f>
        <v>1.02</v>
      </c>
      <c r="O74" s="141">
        <f>INDEX('CHIRP Payment Calc'!AL:AL,MATCH(F:F,'CHIRP Payment Calc'!C:C,0))</f>
        <v>1.36</v>
      </c>
      <c r="P74" s="138">
        <f t="shared" si="11"/>
        <v>36151188.821236089</v>
      </c>
      <c r="Q74" s="139">
        <f t="shared" si="12"/>
        <v>2215928.7727218037</v>
      </c>
      <c r="R74" s="139">
        <f t="shared" si="13"/>
        <v>7421780.2115840539</v>
      </c>
      <c r="S74" s="139">
        <f t="shared" si="14"/>
        <v>1960133.9973432103</v>
      </c>
      <c r="T74" s="139">
        <f t="shared" si="15"/>
        <v>27017532.954683717</v>
      </c>
      <c r="U74" s="139">
        <f t="shared" si="16"/>
        <v>1967670.4303469101</v>
      </c>
      <c r="V74" s="140">
        <f t="shared" si="17"/>
        <v>38367117.593957894</v>
      </c>
    </row>
    <row r="75" spans="4:22">
      <c r="D75" s="9" t="s">
        <v>1189</v>
      </c>
      <c r="E75" s="9" t="s">
        <v>2279</v>
      </c>
      <c r="F75" s="4" t="s">
        <v>705</v>
      </c>
      <c r="G75" s="9" t="s">
        <v>2865</v>
      </c>
      <c r="H75" s="138">
        <v>5629307.9333423842</v>
      </c>
      <c r="I75" s="139">
        <v>21940603.231696583</v>
      </c>
      <c r="J75" s="139">
        <v>1766125.9581031278</v>
      </c>
      <c r="K75" s="139">
        <v>5993216.217085015</v>
      </c>
      <c r="L75" s="139">
        <f t="shared" si="9"/>
        <v>7395433.891445512</v>
      </c>
      <c r="M75" s="140">
        <f t="shared" si="10"/>
        <v>27933819.448781598</v>
      </c>
      <c r="N75" s="21">
        <f>INDEX('CHIRP Payment Calc'!AM:AM,MATCH(F:F,'CHIRP Payment Calc'!C:C,0))</f>
        <v>1.06</v>
      </c>
      <c r="O75" s="141">
        <f>INDEX('CHIRP Payment Calc'!AL:AL,MATCH(F:F,'CHIRP Payment Calc'!C:C,0))</f>
        <v>1.36</v>
      </c>
      <c r="P75" s="138">
        <f t="shared" si="11"/>
        <v>45829154.375275217</v>
      </c>
      <c r="Q75" s="139">
        <f t="shared" si="12"/>
        <v>2824225.9302564347</v>
      </c>
      <c r="R75" s="139">
        <f t="shared" si="13"/>
        <v>6331104.9435999235</v>
      </c>
      <c r="S75" s="139">
        <f t="shared" si="14"/>
        <v>1991588.8463716125</v>
      </c>
      <c r="T75" s="139">
        <f t="shared" si="15"/>
        <v>31659650.286586054</v>
      </c>
      <c r="U75" s="139">
        <f t="shared" si="16"/>
        <v>8671036.2289740648</v>
      </c>
      <c r="V75" s="140">
        <f t="shared" si="17"/>
        <v>48653380.305531658</v>
      </c>
    </row>
    <row r="76" spans="4:22">
      <c r="D76" s="9" t="s">
        <v>1189</v>
      </c>
      <c r="E76" s="9" t="s">
        <v>2279</v>
      </c>
      <c r="F76" s="4" t="s">
        <v>1081</v>
      </c>
      <c r="G76" s="9" t="s">
        <v>2650</v>
      </c>
      <c r="H76" s="138">
        <v>6171418.5457695331</v>
      </c>
      <c r="I76" s="139">
        <v>11109100.008898931</v>
      </c>
      <c r="J76" s="139">
        <v>655309.58001211262</v>
      </c>
      <c r="K76" s="139">
        <v>2213798.0994253331</v>
      </c>
      <c r="L76" s="139">
        <f t="shared" si="9"/>
        <v>6826728.125781646</v>
      </c>
      <c r="M76" s="140">
        <f t="shared" si="10"/>
        <v>13322898.108324263</v>
      </c>
      <c r="N76" s="21">
        <f>INDEX('CHIRP Payment Calc'!AM:AM,MATCH(F:F,'CHIRP Payment Calc'!C:C,0))</f>
        <v>0.92999999999999994</v>
      </c>
      <c r="O76" s="141">
        <f>INDEX('CHIRP Payment Calc'!AL:AL,MATCH(F:F,'CHIRP Payment Calc'!C:C,0))</f>
        <v>1.56</v>
      </c>
      <c r="P76" s="138">
        <f t="shared" si="11"/>
        <v>27132578.205962781</v>
      </c>
      <c r="Q76" s="139">
        <f t="shared" si="12"/>
        <v>1666768.1690767824</v>
      </c>
      <c r="R76" s="139">
        <f t="shared" si="13"/>
        <v>6089569.4934383715</v>
      </c>
      <c r="S76" s="139">
        <f t="shared" si="14"/>
        <v>648338.20150134549</v>
      </c>
      <c r="T76" s="139">
        <f t="shared" si="15"/>
        <v>18387475.876798231</v>
      </c>
      <c r="U76" s="139">
        <f t="shared" si="16"/>
        <v>3673962.8033016175</v>
      </c>
      <c r="V76" s="140">
        <f t="shared" si="17"/>
        <v>28799346.375039566</v>
      </c>
    </row>
    <row r="77" spans="4:22">
      <c r="D77" s="9" t="s">
        <v>300</v>
      </c>
      <c r="E77" s="9" t="s">
        <v>1547</v>
      </c>
      <c r="F77" s="4" t="s">
        <v>426</v>
      </c>
      <c r="G77" s="9" t="s">
        <v>2596</v>
      </c>
      <c r="H77" s="138">
        <v>285173582.02103454</v>
      </c>
      <c r="I77" s="139">
        <v>324467299.38474149</v>
      </c>
      <c r="J77" s="139">
        <v>2329586.7567587118</v>
      </c>
      <c r="K77" s="139">
        <v>3666507.8480157629</v>
      </c>
      <c r="L77" s="139">
        <f t="shared" si="9"/>
        <v>287503168.77779323</v>
      </c>
      <c r="M77" s="140">
        <f t="shared" si="10"/>
        <v>328133807.23275727</v>
      </c>
      <c r="N77" s="21">
        <f>INDEX('CHIRP Payment Calc'!AM:AM,MATCH(F:F,'CHIRP Payment Calc'!C:C,0))</f>
        <v>0.31999999999999995</v>
      </c>
      <c r="O77" s="141">
        <f>INDEX('CHIRP Payment Calc'!AL:AL,MATCH(F:F,'CHIRP Payment Calc'!C:C,0))</f>
        <v>1.1200000000000001</v>
      </c>
      <c r="P77" s="138">
        <f t="shared" si="11"/>
        <v>459510878.10958195</v>
      </c>
      <c r="Q77" s="139">
        <f t="shared" si="12"/>
        <v>28047511.544898424</v>
      </c>
      <c r="R77" s="139">
        <f t="shared" si="13"/>
        <v>96822860.739237174</v>
      </c>
      <c r="S77" s="139">
        <f t="shared" si="14"/>
        <v>793050.81081147632</v>
      </c>
      <c r="T77" s="139">
        <f t="shared" si="15"/>
        <v>385573873.00892359</v>
      </c>
      <c r="U77" s="139">
        <f t="shared" si="16"/>
        <v>4368605.0955081442</v>
      </c>
      <c r="V77" s="140">
        <f t="shared" si="17"/>
        <v>487558389.6544804</v>
      </c>
    </row>
    <row r="78" spans="4:22">
      <c r="D78" s="9" t="s">
        <v>300</v>
      </c>
      <c r="E78" s="9" t="s">
        <v>2529</v>
      </c>
      <c r="F78" s="4" t="s">
        <v>1334</v>
      </c>
      <c r="G78" s="9" t="s">
        <v>2876</v>
      </c>
      <c r="H78" s="138">
        <v>0</v>
      </c>
      <c r="I78" s="139">
        <v>3755877.1412287853</v>
      </c>
      <c r="J78" s="139">
        <v>0</v>
      </c>
      <c r="K78" s="139">
        <v>0</v>
      </c>
      <c r="L78" s="139">
        <f t="shared" si="9"/>
        <v>0</v>
      </c>
      <c r="M78" s="140">
        <f t="shared" si="10"/>
        <v>3755877.1412287853</v>
      </c>
      <c r="N78" s="21">
        <f>INDEX('CHIRP Payment Calc'!AM:AM,MATCH(F:F,'CHIRP Payment Calc'!C:C,0))</f>
        <v>0</v>
      </c>
      <c r="O78" s="141">
        <f>INDEX('CHIRP Payment Calc'!AL:AL,MATCH(F:F,'CHIRP Payment Calc'!C:C,0))</f>
        <v>0.24</v>
      </c>
      <c r="P78" s="138">
        <f t="shared" si="11"/>
        <v>901410.51389490848</v>
      </c>
      <c r="Q78" s="139">
        <f t="shared" si="12"/>
        <v>54993.214375551448</v>
      </c>
      <c r="R78" s="139">
        <f t="shared" si="13"/>
        <v>0</v>
      </c>
      <c r="S78" s="139">
        <f t="shared" si="14"/>
        <v>0</v>
      </c>
      <c r="T78" s="139">
        <f t="shared" si="15"/>
        <v>956403.72827045992</v>
      </c>
      <c r="U78" s="139">
        <f t="shared" si="16"/>
        <v>0</v>
      </c>
      <c r="V78" s="140">
        <f t="shared" si="17"/>
        <v>956403.72827045992</v>
      </c>
    </row>
    <row r="79" spans="4:22">
      <c r="D79" s="9" t="s">
        <v>300</v>
      </c>
      <c r="E79" s="9" t="s">
        <v>2529</v>
      </c>
      <c r="F79" s="4" t="s">
        <v>489</v>
      </c>
      <c r="G79" s="9" t="s">
        <v>2893</v>
      </c>
      <c r="H79" s="138">
        <v>0</v>
      </c>
      <c r="I79" s="139">
        <v>1615316.423902988</v>
      </c>
      <c r="J79" s="139">
        <v>0</v>
      </c>
      <c r="K79" s="139">
        <v>0</v>
      </c>
      <c r="L79" s="139">
        <f t="shared" si="9"/>
        <v>0</v>
      </c>
      <c r="M79" s="140">
        <f t="shared" si="10"/>
        <v>1615316.423902988</v>
      </c>
      <c r="N79" s="21">
        <f>INDEX('CHIRP Payment Calc'!AM:AM,MATCH(F:F,'CHIRP Payment Calc'!C:C,0))</f>
        <v>0</v>
      </c>
      <c r="O79" s="141">
        <f>INDEX('CHIRP Payment Calc'!AL:AL,MATCH(F:F,'CHIRP Payment Calc'!C:C,0))</f>
        <v>0.24</v>
      </c>
      <c r="P79" s="138">
        <f t="shared" si="11"/>
        <v>387675.94173671713</v>
      </c>
      <c r="Q79" s="139">
        <f t="shared" si="12"/>
        <v>23651.317400383272</v>
      </c>
      <c r="R79" s="139">
        <f t="shared" si="13"/>
        <v>0</v>
      </c>
      <c r="S79" s="139">
        <f t="shared" si="14"/>
        <v>0</v>
      </c>
      <c r="T79" s="139">
        <f t="shared" si="15"/>
        <v>411327.25913710037</v>
      </c>
      <c r="U79" s="139">
        <f t="shared" si="16"/>
        <v>0</v>
      </c>
      <c r="V79" s="140">
        <f t="shared" si="17"/>
        <v>411327.25913710037</v>
      </c>
    </row>
    <row r="80" spans="4:22">
      <c r="D80" s="9" t="s">
        <v>300</v>
      </c>
      <c r="E80" s="9" t="s">
        <v>2529</v>
      </c>
      <c r="F80" s="4" t="s">
        <v>1219</v>
      </c>
      <c r="G80" s="9" t="s">
        <v>2832</v>
      </c>
      <c r="H80" s="138">
        <v>0</v>
      </c>
      <c r="I80" s="139">
        <v>3171127.9401434958</v>
      </c>
      <c r="J80" s="139">
        <v>0</v>
      </c>
      <c r="K80" s="139">
        <v>0</v>
      </c>
      <c r="L80" s="139">
        <f t="shared" si="9"/>
        <v>0</v>
      </c>
      <c r="M80" s="140">
        <f t="shared" si="10"/>
        <v>3171127.9401434958</v>
      </c>
      <c r="N80" s="21">
        <f>INDEX('CHIRP Payment Calc'!AM:AM,MATCH(F:F,'CHIRP Payment Calc'!C:C,0))</f>
        <v>0</v>
      </c>
      <c r="O80" s="141">
        <f>INDEX('CHIRP Payment Calc'!AL:AL,MATCH(F:F,'CHIRP Payment Calc'!C:C,0))</f>
        <v>0.24</v>
      </c>
      <c r="P80" s="138">
        <f t="shared" si="11"/>
        <v>761070.70563443901</v>
      </c>
      <c r="Q80" s="139">
        <f t="shared" si="12"/>
        <v>46431.36930926286</v>
      </c>
      <c r="R80" s="139">
        <f t="shared" si="13"/>
        <v>0</v>
      </c>
      <c r="S80" s="139">
        <f t="shared" si="14"/>
        <v>0</v>
      </c>
      <c r="T80" s="139">
        <f t="shared" si="15"/>
        <v>807502.07494370185</v>
      </c>
      <c r="U80" s="139">
        <f t="shared" si="16"/>
        <v>0</v>
      </c>
      <c r="V80" s="140">
        <f t="shared" si="17"/>
        <v>807502.07494370185</v>
      </c>
    </row>
    <row r="81" spans="4:22">
      <c r="D81" s="9" t="s">
        <v>300</v>
      </c>
      <c r="E81" s="9" t="s">
        <v>2529</v>
      </c>
      <c r="F81" s="4" t="s">
        <v>1357</v>
      </c>
      <c r="G81" s="9" t="s">
        <v>2895</v>
      </c>
      <c r="H81" s="138">
        <v>0</v>
      </c>
      <c r="I81" s="139">
        <v>1584445.9651911401</v>
      </c>
      <c r="J81" s="139">
        <v>0</v>
      </c>
      <c r="K81" s="139">
        <v>0</v>
      </c>
      <c r="L81" s="139">
        <f t="shared" si="9"/>
        <v>0</v>
      </c>
      <c r="M81" s="140">
        <f t="shared" si="10"/>
        <v>1584445.9651911401</v>
      </c>
      <c r="N81" s="21">
        <f>INDEX('CHIRP Payment Calc'!AM:AM,MATCH(F:F,'CHIRP Payment Calc'!C:C,0))</f>
        <v>0</v>
      </c>
      <c r="O81" s="141">
        <f>INDEX('CHIRP Payment Calc'!AL:AL,MATCH(F:F,'CHIRP Payment Calc'!C:C,0))</f>
        <v>0.24</v>
      </c>
      <c r="P81" s="138">
        <f t="shared" si="11"/>
        <v>380267.03164587362</v>
      </c>
      <c r="Q81" s="139">
        <f t="shared" si="12"/>
        <v>23199.314927997595</v>
      </c>
      <c r="R81" s="139">
        <f t="shared" si="13"/>
        <v>0</v>
      </c>
      <c r="S81" s="139">
        <f t="shared" si="14"/>
        <v>0</v>
      </c>
      <c r="T81" s="139">
        <f t="shared" si="15"/>
        <v>403466.34657387121</v>
      </c>
      <c r="U81" s="139">
        <f t="shared" si="16"/>
        <v>0</v>
      </c>
      <c r="V81" s="140">
        <f t="shared" si="17"/>
        <v>403466.34657387121</v>
      </c>
    </row>
    <row r="82" spans="4:22">
      <c r="D82" s="9" t="s">
        <v>300</v>
      </c>
      <c r="E82" s="9" t="s">
        <v>2529</v>
      </c>
      <c r="F82" s="4" t="s">
        <v>1354</v>
      </c>
      <c r="G82" s="9" t="s">
        <v>2836</v>
      </c>
      <c r="H82" s="138">
        <v>0</v>
      </c>
      <c r="I82" s="139">
        <v>5628117.6923030084</v>
      </c>
      <c r="J82" s="139">
        <v>0</v>
      </c>
      <c r="K82" s="139">
        <v>0</v>
      </c>
      <c r="L82" s="139">
        <f t="shared" si="9"/>
        <v>0</v>
      </c>
      <c r="M82" s="140">
        <f t="shared" si="10"/>
        <v>5628117.6923030084</v>
      </c>
      <c r="N82" s="21">
        <f>INDEX('CHIRP Payment Calc'!AM:AM,MATCH(F:F,'CHIRP Payment Calc'!C:C,0))</f>
        <v>0</v>
      </c>
      <c r="O82" s="141">
        <f>INDEX('CHIRP Payment Calc'!AL:AL,MATCH(F:F,'CHIRP Payment Calc'!C:C,0))</f>
        <v>0.24</v>
      </c>
      <c r="P82" s="138">
        <f t="shared" si="11"/>
        <v>1350748.246152722</v>
      </c>
      <c r="Q82" s="139">
        <f t="shared" si="12"/>
        <v>82406.39167509976</v>
      </c>
      <c r="R82" s="139">
        <f t="shared" si="13"/>
        <v>0</v>
      </c>
      <c r="S82" s="139">
        <f t="shared" si="14"/>
        <v>0</v>
      </c>
      <c r="T82" s="139">
        <f t="shared" si="15"/>
        <v>1433154.6378278218</v>
      </c>
      <c r="U82" s="139">
        <f t="shared" si="16"/>
        <v>0</v>
      </c>
      <c r="V82" s="140">
        <f t="shared" si="17"/>
        <v>1433154.6378278218</v>
      </c>
    </row>
    <row r="83" spans="4:22">
      <c r="D83" s="9" t="s">
        <v>300</v>
      </c>
      <c r="E83" s="9" t="s">
        <v>2529</v>
      </c>
      <c r="F83" s="4" t="s">
        <v>1266</v>
      </c>
      <c r="G83" s="9" t="s">
        <v>2917</v>
      </c>
      <c r="H83" s="138">
        <v>0</v>
      </c>
      <c r="I83" s="139">
        <v>3703159.7875933875</v>
      </c>
      <c r="J83" s="139">
        <v>0</v>
      </c>
      <c r="K83" s="139">
        <v>0</v>
      </c>
      <c r="L83" s="139">
        <f t="shared" si="9"/>
        <v>0</v>
      </c>
      <c r="M83" s="140">
        <f t="shared" si="10"/>
        <v>3703159.7875933875</v>
      </c>
      <c r="N83" s="21">
        <f>INDEX('CHIRP Payment Calc'!AM:AM,MATCH(F:F,'CHIRP Payment Calc'!C:C,0))</f>
        <v>0</v>
      </c>
      <c r="O83" s="141">
        <f>INDEX('CHIRP Payment Calc'!AL:AL,MATCH(F:F,'CHIRP Payment Calc'!C:C,0))</f>
        <v>0.24</v>
      </c>
      <c r="P83" s="138">
        <f t="shared" si="11"/>
        <v>888758.34902241302</v>
      </c>
      <c r="Q83" s="139">
        <f t="shared" si="12"/>
        <v>54221.331637972144</v>
      </c>
      <c r="R83" s="139">
        <f t="shared" si="13"/>
        <v>0</v>
      </c>
      <c r="S83" s="139">
        <f t="shared" si="14"/>
        <v>0</v>
      </c>
      <c r="T83" s="139">
        <f t="shared" si="15"/>
        <v>942979.68066038506</v>
      </c>
      <c r="U83" s="139">
        <f t="shared" si="16"/>
        <v>0</v>
      </c>
      <c r="V83" s="140">
        <f t="shared" si="17"/>
        <v>942979.68066038506</v>
      </c>
    </row>
    <row r="84" spans="4:22">
      <c r="D84" s="9" t="s">
        <v>300</v>
      </c>
      <c r="E84" s="9" t="s">
        <v>2529</v>
      </c>
      <c r="F84" s="4" t="s">
        <v>1232</v>
      </c>
      <c r="G84" s="9" t="s">
        <v>2827</v>
      </c>
      <c r="H84" s="138">
        <v>0</v>
      </c>
      <c r="I84" s="139">
        <v>4620516.3195105875</v>
      </c>
      <c r="J84" s="139">
        <v>0</v>
      </c>
      <c r="K84" s="139">
        <v>0</v>
      </c>
      <c r="L84" s="139">
        <f t="shared" si="9"/>
        <v>0</v>
      </c>
      <c r="M84" s="140">
        <f t="shared" si="10"/>
        <v>4620516.3195105875</v>
      </c>
      <c r="N84" s="21">
        <f>INDEX('CHIRP Payment Calc'!AM:AM,MATCH(F:F,'CHIRP Payment Calc'!C:C,0))</f>
        <v>0</v>
      </c>
      <c r="O84" s="141">
        <f>INDEX('CHIRP Payment Calc'!AL:AL,MATCH(F:F,'CHIRP Payment Calc'!C:C,0))</f>
        <v>0.24</v>
      </c>
      <c r="P84" s="138">
        <f t="shared" si="11"/>
        <v>1108923.9166825409</v>
      </c>
      <c r="Q84" s="139">
        <f t="shared" si="12"/>
        <v>67653.183245884458</v>
      </c>
      <c r="R84" s="139">
        <f t="shared" si="13"/>
        <v>0</v>
      </c>
      <c r="S84" s="139">
        <f t="shared" si="14"/>
        <v>0</v>
      </c>
      <c r="T84" s="139">
        <f t="shared" si="15"/>
        <v>1176577.0999284254</v>
      </c>
      <c r="U84" s="139">
        <f t="shared" si="16"/>
        <v>0</v>
      </c>
      <c r="V84" s="140">
        <f t="shared" si="17"/>
        <v>1176577.0999284254</v>
      </c>
    </row>
    <row r="85" spans="4:22">
      <c r="D85" s="9" t="s">
        <v>300</v>
      </c>
      <c r="E85" s="9" t="s">
        <v>2529</v>
      </c>
      <c r="F85" s="4" t="s">
        <v>1516</v>
      </c>
      <c r="G85" s="9" t="s">
        <v>2720</v>
      </c>
      <c r="H85" s="138">
        <v>0</v>
      </c>
      <c r="I85" s="139">
        <v>1753412.7108707305</v>
      </c>
      <c r="J85" s="139">
        <v>0</v>
      </c>
      <c r="K85" s="139">
        <v>0</v>
      </c>
      <c r="L85" s="139">
        <f t="shared" si="9"/>
        <v>0</v>
      </c>
      <c r="M85" s="140">
        <f t="shared" si="10"/>
        <v>1753412.7108707305</v>
      </c>
      <c r="N85" s="21">
        <f>INDEX('CHIRP Payment Calc'!AM:AM,MATCH(F:F,'CHIRP Payment Calc'!C:C,0))</f>
        <v>0</v>
      </c>
      <c r="O85" s="141">
        <f>INDEX('CHIRP Payment Calc'!AL:AL,MATCH(F:F,'CHIRP Payment Calc'!C:C,0))</f>
        <v>0.24</v>
      </c>
      <c r="P85" s="138">
        <f t="shared" si="11"/>
        <v>420819.05060897529</v>
      </c>
      <c r="Q85" s="139">
        <f t="shared" si="12"/>
        <v>25673.310779857911</v>
      </c>
      <c r="R85" s="139">
        <f t="shared" si="13"/>
        <v>0</v>
      </c>
      <c r="S85" s="139">
        <f t="shared" si="14"/>
        <v>0</v>
      </c>
      <c r="T85" s="139">
        <f t="shared" si="15"/>
        <v>446492.3613888332</v>
      </c>
      <c r="U85" s="139">
        <f t="shared" si="16"/>
        <v>0</v>
      </c>
      <c r="V85" s="140">
        <f t="shared" si="17"/>
        <v>446492.3613888332</v>
      </c>
    </row>
    <row r="86" spans="4:22">
      <c r="D86" s="9" t="s">
        <v>300</v>
      </c>
      <c r="E86" s="9" t="s">
        <v>2529</v>
      </c>
      <c r="F86" s="4" t="s">
        <v>1313</v>
      </c>
      <c r="G86" s="9" t="s">
        <v>2828</v>
      </c>
      <c r="H86" s="138">
        <v>0</v>
      </c>
      <c r="I86" s="139">
        <v>5092141.6932386216</v>
      </c>
      <c r="J86" s="139">
        <v>0</v>
      </c>
      <c r="K86" s="139">
        <v>0</v>
      </c>
      <c r="L86" s="139">
        <f t="shared" si="9"/>
        <v>0</v>
      </c>
      <c r="M86" s="140">
        <f t="shared" si="10"/>
        <v>5092141.6932386216</v>
      </c>
      <c r="N86" s="21">
        <f>INDEX('CHIRP Payment Calc'!AM:AM,MATCH(F:F,'CHIRP Payment Calc'!C:C,0))</f>
        <v>0</v>
      </c>
      <c r="O86" s="141">
        <f>INDEX('CHIRP Payment Calc'!AL:AL,MATCH(F:F,'CHIRP Payment Calc'!C:C,0))</f>
        <v>0.24</v>
      </c>
      <c r="P86" s="138">
        <f t="shared" si="11"/>
        <v>1222114.006377269</v>
      </c>
      <c r="Q86" s="139">
        <f t="shared" si="12"/>
        <v>74558.67943415702</v>
      </c>
      <c r="R86" s="139">
        <f t="shared" si="13"/>
        <v>0</v>
      </c>
      <c r="S86" s="139">
        <f t="shared" si="14"/>
        <v>0</v>
      </c>
      <c r="T86" s="139">
        <f t="shared" si="15"/>
        <v>1296672.6858114263</v>
      </c>
      <c r="U86" s="139">
        <f t="shared" si="16"/>
        <v>0</v>
      </c>
      <c r="V86" s="140">
        <f t="shared" si="17"/>
        <v>1296672.6858114263</v>
      </c>
    </row>
    <row r="87" spans="4:22">
      <c r="D87" s="9" t="s">
        <v>300</v>
      </c>
      <c r="E87" s="9" t="s">
        <v>2291</v>
      </c>
      <c r="F87" s="4" t="s">
        <v>124</v>
      </c>
      <c r="G87" s="9" t="s">
        <v>1695</v>
      </c>
      <c r="H87" s="138">
        <v>757022.30410277867</v>
      </c>
      <c r="I87" s="139">
        <v>299078.17503016425</v>
      </c>
      <c r="J87" s="139">
        <v>189842.73409868727</v>
      </c>
      <c r="K87" s="139">
        <v>107742.01558882996</v>
      </c>
      <c r="L87" s="139">
        <f t="shared" si="9"/>
        <v>946865.03820146597</v>
      </c>
      <c r="M87" s="140">
        <f t="shared" si="10"/>
        <v>406820.19061899418</v>
      </c>
      <c r="N87" s="21">
        <f>INDEX('CHIRP Payment Calc'!AM:AM,MATCH(F:F,'CHIRP Payment Calc'!C:C,0))</f>
        <v>0.28000000000000003</v>
      </c>
      <c r="O87" s="141">
        <f>INDEX('CHIRP Payment Calc'!AL:AL,MATCH(F:F,'CHIRP Payment Calc'!C:C,0))</f>
        <v>0.01</v>
      </c>
      <c r="P87" s="138">
        <f t="shared" si="11"/>
        <v>269190.41260260047</v>
      </c>
      <c r="Q87" s="139">
        <f t="shared" si="12"/>
        <v>16575.794644651905</v>
      </c>
      <c r="R87" s="139">
        <f t="shared" si="13"/>
        <v>224897.8728368998</v>
      </c>
      <c r="S87" s="139">
        <f t="shared" si="14"/>
        <v>56548.89951875792</v>
      </c>
      <c r="T87" s="139">
        <f t="shared" si="15"/>
        <v>3173.2432363943158</v>
      </c>
      <c r="U87" s="139">
        <f t="shared" si="16"/>
        <v>1146.1916552003188</v>
      </c>
      <c r="V87" s="140">
        <f t="shared" si="17"/>
        <v>285766.20724725234</v>
      </c>
    </row>
    <row r="88" spans="4:22">
      <c r="D88" s="9" t="s">
        <v>300</v>
      </c>
      <c r="E88" s="9" t="s">
        <v>2291</v>
      </c>
      <c r="F88" s="4" t="s">
        <v>1073</v>
      </c>
      <c r="G88" s="9" t="s">
        <v>2900</v>
      </c>
      <c r="H88" s="138">
        <v>530400.96967172786</v>
      </c>
      <c r="I88" s="139">
        <v>41214.713635612963</v>
      </c>
      <c r="J88" s="139">
        <v>364183.52683460485</v>
      </c>
      <c r="K88" s="139">
        <v>150260.46581205356</v>
      </c>
      <c r="L88" s="139">
        <f t="shared" si="9"/>
        <v>894584.49650633265</v>
      </c>
      <c r="M88" s="140">
        <f t="shared" si="10"/>
        <v>191475.17944766651</v>
      </c>
      <c r="N88" s="21">
        <f>INDEX('CHIRP Payment Calc'!AM:AM,MATCH(F:F,'CHIRP Payment Calc'!C:C,0))</f>
        <v>0.28000000000000003</v>
      </c>
      <c r="O88" s="141">
        <f>INDEX('CHIRP Payment Calc'!AL:AL,MATCH(F:F,'CHIRP Payment Calc'!C:C,0))</f>
        <v>0.01</v>
      </c>
      <c r="P88" s="138">
        <f t="shared" si="11"/>
        <v>252398.41081624985</v>
      </c>
      <c r="Q88" s="139">
        <f t="shared" si="12"/>
        <v>15690.297516843873</v>
      </c>
      <c r="R88" s="139">
        <f t="shared" si="13"/>
        <v>157572.7018653409</v>
      </c>
      <c r="S88" s="139">
        <f t="shared" si="14"/>
        <v>108480.19948264827</v>
      </c>
      <c r="T88" s="139">
        <f t="shared" si="15"/>
        <v>437.29139135928875</v>
      </c>
      <c r="U88" s="139">
        <f t="shared" si="16"/>
        <v>1598.5155937452507</v>
      </c>
      <c r="V88" s="140">
        <f t="shared" si="17"/>
        <v>268088.70833309367</v>
      </c>
    </row>
    <row r="89" spans="4:22">
      <c r="D89" s="9" t="s">
        <v>300</v>
      </c>
      <c r="E89" s="9" t="s">
        <v>2291</v>
      </c>
      <c r="F89" s="4" t="s">
        <v>531</v>
      </c>
      <c r="G89" s="9" t="s">
        <v>2595</v>
      </c>
      <c r="H89" s="138">
        <v>287314.09702153946</v>
      </c>
      <c r="I89" s="139">
        <v>8.2013357852947539</v>
      </c>
      <c r="J89" s="139">
        <v>84852.646745278398</v>
      </c>
      <c r="K89" s="139">
        <v>7884.8259363098814</v>
      </c>
      <c r="L89" s="139">
        <f t="shared" si="9"/>
        <v>372166.74376681785</v>
      </c>
      <c r="M89" s="140">
        <f t="shared" si="10"/>
        <v>7893.0272720951762</v>
      </c>
      <c r="N89" s="21">
        <f>INDEX('CHIRP Payment Calc'!AM:AM,MATCH(F:F,'CHIRP Payment Calc'!C:C,0))</f>
        <v>0.28000000000000003</v>
      </c>
      <c r="O89" s="141">
        <f>INDEX('CHIRP Payment Calc'!AL:AL,MATCH(F:F,'CHIRP Payment Calc'!C:C,0))</f>
        <v>0.01</v>
      </c>
      <c r="P89" s="138">
        <f t="shared" si="11"/>
        <v>104285.61852742996</v>
      </c>
      <c r="Q89" s="139">
        <f t="shared" si="12"/>
        <v>6429.5182061941332</v>
      </c>
      <c r="R89" s="139">
        <f t="shared" si="13"/>
        <v>85355.912112499791</v>
      </c>
      <c r="S89" s="139">
        <f t="shared" si="14"/>
        <v>25275.256477316972</v>
      </c>
      <c r="T89" s="139">
        <f t="shared" si="15"/>
        <v>8.7016825308167151E-2</v>
      </c>
      <c r="U89" s="139">
        <f t="shared" si="16"/>
        <v>83.881126982020021</v>
      </c>
      <c r="V89" s="140">
        <f t="shared" si="17"/>
        <v>110715.13673362408</v>
      </c>
    </row>
    <row r="90" spans="4:22">
      <c r="D90" s="9" t="s">
        <v>300</v>
      </c>
      <c r="E90" s="9" t="s">
        <v>2291</v>
      </c>
      <c r="F90" s="4" t="s">
        <v>823</v>
      </c>
      <c r="G90" s="9" t="s">
        <v>2837</v>
      </c>
      <c r="H90" s="138">
        <v>2643890.3776171496</v>
      </c>
      <c r="I90" s="139">
        <v>4333515.6587950122</v>
      </c>
      <c r="J90" s="139">
        <v>717160.41946628643</v>
      </c>
      <c r="K90" s="139">
        <v>981509.54271096503</v>
      </c>
      <c r="L90" s="139">
        <f t="shared" si="9"/>
        <v>3361050.797083436</v>
      </c>
      <c r="M90" s="140">
        <f t="shared" si="10"/>
        <v>5315025.2015059777</v>
      </c>
      <c r="N90" s="21">
        <f>INDEX('CHIRP Payment Calc'!AM:AM,MATCH(F:F,'CHIRP Payment Calc'!C:C,0))</f>
        <v>0.28000000000000003</v>
      </c>
      <c r="O90" s="141">
        <f>INDEX('CHIRP Payment Calc'!AL:AL,MATCH(F:F,'CHIRP Payment Calc'!C:C,0))</f>
        <v>0.01</v>
      </c>
      <c r="P90" s="138">
        <f t="shared" si="11"/>
        <v>994244.47519842198</v>
      </c>
      <c r="Q90" s="139">
        <f t="shared" si="12"/>
        <v>61251.158549205808</v>
      </c>
      <c r="R90" s="139">
        <f t="shared" si="13"/>
        <v>785452.84427883499</v>
      </c>
      <c r="S90" s="139">
        <f t="shared" si="14"/>
        <v>213622.25260697899</v>
      </c>
      <c r="T90" s="139">
        <f t="shared" si="15"/>
        <v>45978.945981909943</v>
      </c>
      <c r="U90" s="139">
        <f t="shared" si="16"/>
        <v>10441.590879903884</v>
      </c>
      <c r="V90" s="140">
        <f t="shared" si="17"/>
        <v>1055495.633747628</v>
      </c>
    </row>
    <row r="91" spans="4:22">
      <c r="D91" s="9" t="s">
        <v>300</v>
      </c>
      <c r="E91" s="9" t="s">
        <v>2291</v>
      </c>
      <c r="F91" s="4" t="s">
        <v>954</v>
      </c>
      <c r="G91" s="9" t="s">
        <v>1644</v>
      </c>
      <c r="H91" s="138">
        <v>120386.2148880668</v>
      </c>
      <c r="I91" s="139">
        <v>116243.04475991084</v>
      </c>
      <c r="J91" s="139">
        <v>9474.7448284570419</v>
      </c>
      <c r="K91" s="139">
        <v>55638.577387792808</v>
      </c>
      <c r="L91" s="139">
        <f t="shared" si="9"/>
        <v>129860.95971652384</v>
      </c>
      <c r="M91" s="140">
        <f t="shared" si="10"/>
        <v>171881.62214770366</v>
      </c>
      <c r="N91" s="21">
        <f>INDEX('CHIRP Payment Calc'!AM:AM,MATCH(F:F,'CHIRP Payment Calc'!C:C,0))</f>
        <v>0.28000000000000003</v>
      </c>
      <c r="O91" s="141">
        <f>INDEX('CHIRP Payment Calc'!AL:AL,MATCH(F:F,'CHIRP Payment Calc'!C:C,0))</f>
        <v>0.01</v>
      </c>
      <c r="P91" s="138">
        <f t="shared" si="11"/>
        <v>38079.884942103716</v>
      </c>
      <c r="Q91" s="139">
        <f t="shared" si="12"/>
        <v>2332.2321428244491</v>
      </c>
      <c r="R91" s="139">
        <f t="shared" si="13"/>
        <v>35764.604953484042</v>
      </c>
      <c r="S91" s="139">
        <f t="shared" si="14"/>
        <v>2822.2644169872042</v>
      </c>
      <c r="T91" s="139">
        <f t="shared" si="15"/>
        <v>1233.3479550123168</v>
      </c>
      <c r="U91" s="139">
        <f t="shared" si="16"/>
        <v>591.89975944460434</v>
      </c>
      <c r="V91" s="140">
        <f t="shared" si="17"/>
        <v>40412.11708492817</v>
      </c>
    </row>
    <row r="92" spans="4:22">
      <c r="D92" s="9" t="s">
        <v>300</v>
      </c>
      <c r="E92" s="9" t="s">
        <v>2949</v>
      </c>
      <c r="F92" s="4" t="s">
        <v>1585</v>
      </c>
      <c r="G92" s="9" t="s">
        <v>2786</v>
      </c>
      <c r="H92" s="138">
        <v>53229325.036252692</v>
      </c>
      <c r="I92" s="139">
        <v>93925889.884444103</v>
      </c>
      <c r="J92" s="139">
        <v>18672278.437084127</v>
      </c>
      <c r="K92" s="139">
        <v>27264251.580057874</v>
      </c>
      <c r="L92" s="139">
        <f t="shared" si="9"/>
        <v>71901603.473336816</v>
      </c>
      <c r="M92" s="140">
        <f t="shared" si="10"/>
        <v>121190141.46450198</v>
      </c>
      <c r="N92" s="21">
        <f>INDEX('CHIRP Payment Calc'!AM:AM,MATCH(F:F,'CHIRP Payment Calc'!C:C,0))</f>
        <v>0.28000000000000003</v>
      </c>
      <c r="O92" s="141">
        <f>INDEX('CHIRP Payment Calc'!AL:AL,MATCH(F:F,'CHIRP Payment Calc'!C:C,0))</f>
        <v>0.18</v>
      </c>
      <c r="P92" s="138">
        <f t="shared" si="11"/>
        <v>41946674.436144665</v>
      </c>
      <c r="Q92" s="139">
        <f t="shared" si="12"/>
        <v>2587682.4441453856</v>
      </c>
      <c r="R92" s="139">
        <f t="shared" si="13"/>
        <v>15813486.482918574</v>
      </c>
      <c r="S92" s="139">
        <f t="shared" si="14"/>
        <v>5561955.2791314432</v>
      </c>
      <c r="T92" s="139">
        <f t="shared" si="15"/>
        <v>17938100.98588853</v>
      </c>
      <c r="U92" s="139">
        <f t="shared" si="16"/>
        <v>5220814.1323515074</v>
      </c>
      <c r="V92" s="140">
        <f t="shared" si="17"/>
        <v>44534356.880290054</v>
      </c>
    </row>
    <row r="93" spans="4:22">
      <c r="D93" s="9" t="s">
        <v>300</v>
      </c>
      <c r="E93" s="9" t="s">
        <v>2279</v>
      </c>
      <c r="F93" s="4" t="s">
        <v>573</v>
      </c>
      <c r="G93" s="9" t="s">
        <v>2678</v>
      </c>
      <c r="H93" s="138">
        <v>5651142.3112209998</v>
      </c>
      <c r="I93" s="139">
        <v>40922445.228629276</v>
      </c>
      <c r="J93" s="139">
        <v>107224.59990730278</v>
      </c>
      <c r="K93" s="139">
        <v>168038.48449608104</v>
      </c>
      <c r="L93" s="139">
        <f t="shared" si="9"/>
        <v>5758366.911128303</v>
      </c>
      <c r="M93" s="140">
        <f t="shared" si="10"/>
        <v>41090483.713125356</v>
      </c>
      <c r="N93" s="21">
        <f>INDEX('CHIRP Payment Calc'!AM:AM,MATCH(F:F,'CHIRP Payment Calc'!C:C,0))</f>
        <v>0.3</v>
      </c>
      <c r="O93" s="141">
        <f>INDEX('CHIRP Payment Calc'!AL:AL,MATCH(F:F,'CHIRP Payment Calc'!C:C,0))</f>
        <v>1.57</v>
      </c>
      <c r="P93" s="138">
        <f t="shared" si="11"/>
        <v>66239569.502945304</v>
      </c>
      <c r="Q93" s="139">
        <f t="shared" si="12"/>
        <v>4041976.0721663432</v>
      </c>
      <c r="R93" s="139">
        <f t="shared" si="13"/>
        <v>1798772.0884523075</v>
      </c>
      <c r="S93" s="139">
        <f t="shared" si="14"/>
        <v>34220.616991692375</v>
      </c>
      <c r="T93" s="139">
        <f t="shared" si="15"/>
        <v>68167892.84769015</v>
      </c>
      <c r="U93" s="139">
        <f t="shared" si="16"/>
        <v>280660.02197749709</v>
      </c>
      <c r="V93" s="140">
        <f t="shared" si="17"/>
        <v>70281545.575111642</v>
      </c>
    </row>
    <row r="94" spans="4:22">
      <c r="D94" s="9" t="s">
        <v>300</v>
      </c>
      <c r="E94" s="9" t="s">
        <v>2279</v>
      </c>
      <c r="F94" s="4" t="s">
        <v>1475</v>
      </c>
      <c r="G94" s="9" t="s">
        <v>2800</v>
      </c>
      <c r="H94" s="138">
        <v>435666.63235229457</v>
      </c>
      <c r="I94" s="139">
        <v>0</v>
      </c>
      <c r="J94" s="139">
        <v>148053.73076204673</v>
      </c>
      <c r="K94" s="139">
        <v>0</v>
      </c>
      <c r="L94" s="139">
        <f t="shared" si="9"/>
        <v>583720.36311434128</v>
      </c>
      <c r="M94" s="140">
        <f t="shared" si="10"/>
        <v>0</v>
      </c>
      <c r="N94" s="21">
        <f>INDEX('CHIRP Payment Calc'!AM:AM,MATCH(F:F,'CHIRP Payment Calc'!C:C,0))</f>
        <v>0.3</v>
      </c>
      <c r="O94" s="141">
        <f>INDEX('CHIRP Payment Calc'!AL:AL,MATCH(F:F,'CHIRP Payment Calc'!C:C,0))</f>
        <v>1.57</v>
      </c>
      <c r="P94" s="138">
        <f t="shared" si="11"/>
        <v>175116.10893430238</v>
      </c>
      <c r="Q94" s="139">
        <f t="shared" si="12"/>
        <v>10808.810865139771</v>
      </c>
      <c r="R94" s="139">
        <f t="shared" si="13"/>
        <v>138673.72913070384</v>
      </c>
      <c r="S94" s="139">
        <f t="shared" si="14"/>
        <v>47251.190668738323</v>
      </c>
      <c r="T94" s="139">
        <f t="shared" si="15"/>
        <v>0</v>
      </c>
      <c r="U94" s="139">
        <f t="shared" si="16"/>
        <v>0</v>
      </c>
      <c r="V94" s="140">
        <f t="shared" si="17"/>
        <v>185924.91979944217</v>
      </c>
    </row>
    <row r="95" spans="4:22">
      <c r="D95" s="9" t="s">
        <v>300</v>
      </c>
      <c r="E95" s="9" t="s">
        <v>2279</v>
      </c>
      <c r="F95" s="4" t="s">
        <v>561</v>
      </c>
      <c r="G95" s="9" t="s">
        <v>2624</v>
      </c>
      <c r="H95" s="138">
        <v>11905300.196626883</v>
      </c>
      <c r="I95" s="139">
        <v>23504756.084006969</v>
      </c>
      <c r="J95" s="139">
        <v>1372176.4137671422</v>
      </c>
      <c r="K95" s="139">
        <v>5477511.9190685069</v>
      </c>
      <c r="L95" s="139">
        <f t="shared" si="9"/>
        <v>13277476.610394025</v>
      </c>
      <c r="M95" s="140">
        <f t="shared" si="10"/>
        <v>28982268.003075477</v>
      </c>
      <c r="N95" s="21">
        <f>INDEX('CHIRP Payment Calc'!AM:AM,MATCH(F:F,'CHIRP Payment Calc'!C:C,0))</f>
        <v>0.3</v>
      </c>
      <c r="O95" s="141">
        <f>INDEX('CHIRP Payment Calc'!AL:AL,MATCH(F:F,'CHIRP Payment Calc'!C:C,0))</f>
        <v>1.57</v>
      </c>
      <c r="P95" s="138">
        <f t="shared" si="11"/>
        <v>49485403.747946709</v>
      </c>
      <c r="Q95" s="139">
        <f t="shared" si="12"/>
        <v>3044431.8970248764</v>
      </c>
      <c r="R95" s="139">
        <f t="shared" si="13"/>
        <v>3789485.4737273892</v>
      </c>
      <c r="S95" s="139">
        <f t="shared" si="14"/>
        <v>437928.64269164117</v>
      </c>
      <c r="T95" s="139">
        <f t="shared" si="15"/>
        <v>39153811.195640258</v>
      </c>
      <c r="U95" s="139">
        <f t="shared" si="16"/>
        <v>9148610.3329122942</v>
      </c>
      <c r="V95" s="140">
        <f t="shared" si="17"/>
        <v>52529835.644971587</v>
      </c>
    </row>
    <row r="96" spans="4:22">
      <c r="D96" s="9" t="s">
        <v>300</v>
      </c>
      <c r="E96" s="9" t="s">
        <v>2279</v>
      </c>
      <c r="F96" s="4" t="s">
        <v>187</v>
      </c>
      <c r="G96" s="9" t="s">
        <v>2627</v>
      </c>
      <c r="H96" s="138">
        <v>347893.4826850192</v>
      </c>
      <c r="I96" s="139">
        <v>826997.30862565385</v>
      </c>
      <c r="J96" s="139">
        <v>746643.64578778786</v>
      </c>
      <c r="K96" s="139">
        <v>2966587.9306548419</v>
      </c>
      <c r="L96" s="139">
        <f t="shared" si="9"/>
        <v>1094537.1284728071</v>
      </c>
      <c r="M96" s="140">
        <f t="shared" si="10"/>
        <v>3793585.2392804958</v>
      </c>
      <c r="N96" s="21">
        <f>INDEX('CHIRP Payment Calc'!AM:AM,MATCH(F:F,'CHIRP Payment Calc'!C:C,0))</f>
        <v>0.95</v>
      </c>
      <c r="O96" s="141">
        <f>INDEX('CHIRP Payment Calc'!AL:AL,MATCH(F:F,'CHIRP Payment Calc'!C:C,0))</f>
        <v>1.57</v>
      </c>
      <c r="P96" s="138">
        <f t="shared" si="11"/>
        <v>6995739.0977195445</v>
      </c>
      <c r="Q96" s="139">
        <f t="shared" si="12"/>
        <v>441940.10329963057</v>
      </c>
      <c r="R96" s="139">
        <f t="shared" si="13"/>
        <v>350661.86583635886</v>
      </c>
      <c r="S96" s="139">
        <f t="shared" si="14"/>
        <v>754586.66329616867</v>
      </c>
      <c r="T96" s="139">
        <f t="shared" si="15"/>
        <v>1377597.6387716462</v>
      </c>
      <c r="U96" s="139">
        <f t="shared" si="16"/>
        <v>4954833.0331150023</v>
      </c>
      <c r="V96" s="140">
        <f t="shared" si="17"/>
        <v>7437679.2010191763</v>
      </c>
    </row>
    <row r="97" spans="4:22">
      <c r="D97" s="9" t="s">
        <v>300</v>
      </c>
      <c r="E97" s="9" t="s">
        <v>2279</v>
      </c>
      <c r="F97" s="4" t="s">
        <v>262</v>
      </c>
      <c r="G97" s="9" t="s">
        <v>2819</v>
      </c>
      <c r="H97" s="138">
        <v>4884147.0511928648</v>
      </c>
      <c r="I97" s="139">
        <v>6277941.6505868686</v>
      </c>
      <c r="J97" s="139">
        <v>176449.6964033994</v>
      </c>
      <c r="K97" s="139">
        <v>291817.98789446324</v>
      </c>
      <c r="L97" s="139">
        <f t="shared" si="9"/>
        <v>5060596.7475962639</v>
      </c>
      <c r="M97" s="140">
        <f t="shared" si="10"/>
        <v>6569759.638481332</v>
      </c>
      <c r="N97" s="21">
        <f>INDEX('CHIRP Payment Calc'!AM:AM,MATCH(F:F,'CHIRP Payment Calc'!C:C,0))</f>
        <v>0.45999999999999996</v>
      </c>
      <c r="O97" s="141">
        <f>INDEX('CHIRP Payment Calc'!AL:AL,MATCH(F:F,'CHIRP Payment Calc'!C:C,0))</f>
        <v>1.57</v>
      </c>
      <c r="P97" s="138">
        <f t="shared" si="11"/>
        <v>12642397.136309972</v>
      </c>
      <c r="Q97" s="139">
        <f t="shared" si="12"/>
        <v>772808.7002324101</v>
      </c>
      <c r="R97" s="139">
        <f t="shared" si="13"/>
        <v>2383774.6881153504</v>
      </c>
      <c r="S97" s="139">
        <f t="shared" si="14"/>
        <v>86347.723771876306</v>
      </c>
      <c r="T97" s="139">
        <f t="shared" si="15"/>
        <v>10457685.295937808</v>
      </c>
      <c r="U97" s="139">
        <f t="shared" si="16"/>
        <v>487398.12871734827</v>
      </c>
      <c r="V97" s="140">
        <f t="shared" si="17"/>
        <v>13415205.836542383</v>
      </c>
    </row>
    <row r="98" spans="4:22">
      <c r="D98" s="9" t="s">
        <v>300</v>
      </c>
      <c r="E98" s="9" t="s">
        <v>2279</v>
      </c>
      <c r="F98" s="4" t="s">
        <v>951</v>
      </c>
      <c r="G98" s="9" t="s">
        <v>2629</v>
      </c>
      <c r="H98" s="138">
        <v>2066771.8094489076</v>
      </c>
      <c r="I98" s="139">
        <v>207034.05284741262</v>
      </c>
      <c r="J98" s="139">
        <v>103946.36225556833</v>
      </c>
      <c r="K98" s="139">
        <v>441019.28488247911</v>
      </c>
      <c r="L98" s="139">
        <f t="shared" si="9"/>
        <v>2170718.1717044758</v>
      </c>
      <c r="M98" s="140">
        <f t="shared" si="10"/>
        <v>648053.33772989176</v>
      </c>
      <c r="N98" s="21">
        <f>INDEX('CHIRP Payment Calc'!AM:AM,MATCH(F:F,'CHIRP Payment Calc'!C:C,0))</f>
        <v>0.3</v>
      </c>
      <c r="O98" s="141">
        <f>INDEX('CHIRP Payment Calc'!AL:AL,MATCH(F:F,'CHIRP Payment Calc'!C:C,0))</f>
        <v>1.57</v>
      </c>
      <c r="P98" s="138">
        <f t="shared" si="11"/>
        <v>1668659.1917472729</v>
      </c>
      <c r="Q98" s="139">
        <f t="shared" si="12"/>
        <v>103843.32047948023</v>
      </c>
      <c r="R98" s="139">
        <f t="shared" si="13"/>
        <v>657858.40088559396</v>
      </c>
      <c r="S98" s="139">
        <f t="shared" si="14"/>
        <v>33174.37093262819</v>
      </c>
      <c r="T98" s="139">
        <f t="shared" si="15"/>
        <v>344873.70076439023</v>
      </c>
      <c r="U98" s="139">
        <f t="shared" si="16"/>
        <v>736596.03964414075</v>
      </c>
      <c r="V98" s="140">
        <f t="shared" si="17"/>
        <v>1772502.5122267532</v>
      </c>
    </row>
    <row r="99" spans="4:22">
      <c r="D99" s="9" t="s">
        <v>300</v>
      </c>
      <c r="E99" s="9" t="s">
        <v>2279</v>
      </c>
      <c r="F99" s="4" t="s">
        <v>1466</v>
      </c>
      <c r="G99" s="9" t="s">
        <v>2535</v>
      </c>
      <c r="H99" s="138">
        <v>0</v>
      </c>
      <c r="I99" s="139">
        <v>0</v>
      </c>
      <c r="J99" s="139">
        <v>0</v>
      </c>
      <c r="K99" s="139">
        <v>0</v>
      </c>
      <c r="L99" s="139">
        <f t="shared" si="9"/>
        <v>0</v>
      </c>
      <c r="M99" s="140">
        <f t="shared" si="10"/>
        <v>0</v>
      </c>
      <c r="N99" s="21">
        <f>INDEX('CHIRP Payment Calc'!AM:AM,MATCH(F:F,'CHIRP Payment Calc'!C:C,0))</f>
        <v>0.3</v>
      </c>
      <c r="O99" s="141">
        <f>INDEX('CHIRP Payment Calc'!AL:AL,MATCH(F:F,'CHIRP Payment Calc'!C:C,0))</f>
        <v>1.57</v>
      </c>
      <c r="P99" s="138">
        <f t="shared" si="11"/>
        <v>0</v>
      </c>
      <c r="Q99" s="139">
        <f t="shared" si="12"/>
        <v>0</v>
      </c>
      <c r="R99" s="139">
        <f t="shared" si="13"/>
        <v>0</v>
      </c>
      <c r="S99" s="139">
        <f t="shared" si="14"/>
        <v>0</v>
      </c>
      <c r="T99" s="139">
        <f t="shared" si="15"/>
        <v>0</v>
      </c>
      <c r="U99" s="139">
        <f t="shared" si="16"/>
        <v>0</v>
      </c>
      <c r="V99" s="140">
        <f t="shared" si="17"/>
        <v>0</v>
      </c>
    </row>
    <row r="100" spans="4:22">
      <c r="D100" s="9" t="s">
        <v>300</v>
      </c>
      <c r="E100" s="9" t="s">
        <v>2279</v>
      </c>
      <c r="F100" s="4" t="s">
        <v>1615</v>
      </c>
      <c r="G100" s="9" t="s">
        <v>2117</v>
      </c>
      <c r="H100" s="138">
        <v>3367276.2814099952</v>
      </c>
      <c r="I100" s="139">
        <v>15553057.818349157</v>
      </c>
      <c r="J100" s="139">
        <v>1860003.25649073</v>
      </c>
      <c r="K100" s="139">
        <v>6573651.9417979391</v>
      </c>
      <c r="L100" s="139">
        <f t="shared" si="9"/>
        <v>5227279.5379007254</v>
      </c>
      <c r="M100" s="140">
        <f t="shared" si="10"/>
        <v>22126709.760147095</v>
      </c>
      <c r="N100" s="21">
        <f>INDEX('CHIRP Payment Calc'!AM:AM,MATCH(F:F,'CHIRP Payment Calc'!C:C,0))</f>
        <v>0.54</v>
      </c>
      <c r="O100" s="141">
        <f>INDEX('CHIRP Payment Calc'!AL:AL,MATCH(F:F,'CHIRP Payment Calc'!C:C,0))</f>
        <v>1.57</v>
      </c>
      <c r="P100" s="138">
        <f t="shared" si="11"/>
        <v>37561665.273897335</v>
      </c>
      <c r="Q100" s="139">
        <f t="shared" si="12"/>
        <v>2323517.8015937358</v>
      </c>
      <c r="R100" s="139">
        <f t="shared" si="13"/>
        <v>1929261.7421341087</v>
      </c>
      <c r="S100" s="139">
        <f t="shared" si="14"/>
        <v>1068512.5090478663</v>
      </c>
      <c r="T100" s="139">
        <f t="shared" si="15"/>
        <v>25908011.432157218</v>
      </c>
      <c r="U100" s="139">
        <f t="shared" si="16"/>
        <v>10979397.392151877</v>
      </c>
      <c r="V100" s="140">
        <f t="shared" si="17"/>
        <v>39885183.075491071</v>
      </c>
    </row>
    <row r="101" spans="4:22">
      <c r="D101" s="9" t="s">
        <v>300</v>
      </c>
      <c r="E101" s="9" t="s">
        <v>2279</v>
      </c>
      <c r="F101" s="4" t="s">
        <v>558</v>
      </c>
      <c r="G101" s="9" t="s">
        <v>2626</v>
      </c>
      <c r="H101" s="138">
        <v>19945406.545057349</v>
      </c>
      <c r="I101" s="139">
        <v>11580955.200939743</v>
      </c>
      <c r="J101" s="139">
        <v>1893315.9858703353</v>
      </c>
      <c r="K101" s="139">
        <v>5276989.5116998348</v>
      </c>
      <c r="L101" s="139">
        <f t="shared" si="9"/>
        <v>21838722.530927684</v>
      </c>
      <c r="M101" s="140">
        <f t="shared" si="10"/>
        <v>16857944.712639578</v>
      </c>
      <c r="N101" s="21">
        <f>INDEX('CHIRP Payment Calc'!AM:AM,MATCH(F:F,'CHIRP Payment Calc'!C:C,0))</f>
        <v>0.3</v>
      </c>
      <c r="O101" s="141">
        <f>INDEX('CHIRP Payment Calc'!AL:AL,MATCH(F:F,'CHIRP Payment Calc'!C:C,0))</f>
        <v>1.57</v>
      </c>
      <c r="P101" s="138">
        <f t="shared" si="11"/>
        <v>33018589.958122443</v>
      </c>
      <c r="Q101" s="139">
        <f t="shared" si="12"/>
        <v>2039378.0214000144</v>
      </c>
      <c r="R101" s="139">
        <f t="shared" si="13"/>
        <v>6348670.5183206415</v>
      </c>
      <c r="S101" s="139">
        <f t="shared" si="14"/>
        <v>604249.78272457514</v>
      </c>
      <c r="T101" s="139">
        <f t="shared" si="15"/>
        <v>19291352.430212621</v>
      </c>
      <c r="U101" s="139">
        <f t="shared" si="16"/>
        <v>8813695.2482646201</v>
      </c>
      <c r="V101" s="140">
        <f t="shared" si="17"/>
        <v>35057967.979522459</v>
      </c>
    </row>
    <row r="102" spans="4:22">
      <c r="D102" s="9" t="s">
        <v>300</v>
      </c>
      <c r="E102" s="9" t="s">
        <v>2279</v>
      </c>
      <c r="F102" s="4" t="s">
        <v>259</v>
      </c>
      <c r="G102" s="9" t="s">
        <v>2823</v>
      </c>
      <c r="H102" s="138">
        <v>1250799.6904688398</v>
      </c>
      <c r="I102" s="139">
        <v>678896.02380839025</v>
      </c>
      <c r="J102" s="139">
        <v>205263.45242358476</v>
      </c>
      <c r="K102" s="139">
        <v>284645.94356279296</v>
      </c>
      <c r="L102" s="139">
        <f t="shared" si="9"/>
        <v>1456063.1428924245</v>
      </c>
      <c r="M102" s="140">
        <f t="shared" si="10"/>
        <v>963541.96737118321</v>
      </c>
      <c r="N102" s="21">
        <f>INDEX('CHIRP Payment Calc'!AM:AM,MATCH(F:F,'CHIRP Payment Calc'!C:C,0))</f>
        <v>0.55000000000000004</v>
      </c>
      <c r="O102" s="141">
        <f>INDEX('CHIRP Payment Calc'!AL:AL,MATCH(F:F,'CHIRP Payment Calc'!C:C,0))</f>
        <v>1.57</v>
      </c>
      <c r="P102" s="138">
        <f t="shared" si="11"/>
        <v>2313595.6173635912</v>
      </c>
      <c r="Q102" s="139">
        <f t="shared" si="12"/>
        <v>142727.37253125856</v>
      </c>
      <c r="R102" s="139">
        <f t="shared" si="13"/>
        <v>729909.63369534432</v>
      </c>
      <c r="S102" s="139">
        <f t="shared" si="14"/>
        <v>120100.95620528898</v>
      </c>
      <c r="T102" s="139">
        <f t="shared" si="15"/>
        <v>1130893.1112776368</v>
      </c>
      <c r="U102" s="139">
        <f t="shared" si="16"/>
        <v>475419.28871657985</v>
      </c>
      <c r="V102" s="140">
        <f t="shared" si="17"/>
        <v>2456322.9898948502</v>
      </c>
    </row>
    <row r="103" spans="4:22">
      <c r="D103" s="9" t="s">
        <v>300</v>
      </c>
      <c r="E103" s="9" t="s">
        <v>2279</v>
      </c>
      <c r="F103" s="4" t="s">
        <v>1042</v>
      </c>
      <c r="G103" s="9" t="s">
        <v>2976</v>
      </c>
      <c r="H103" s="138">
        <v>3122927.4331594007</v>
      </c>
      <c r="I103" s="139">
        <v>4370839.152397912</v>
      </c>
      <c r="J103" s="139">
        <v>4828235.3291783324</v>
      </c>
      <c r="K103" s="139">
        <v>16501809.244557295</v>
      </c>
      <c r="L103" s="139">
        <f t="shared" si="9"/>
        <v>7951162.7623377331</v>
      </c>
      <c r="M103" s="140">
        <f t="shared" si="10"/>
        <v>20872648.396955207</v>
      </c>
      <c r="N103" s="21">
        <f>INDEX('CHIRP Payment Calc'!AM:AM,MATCH(F:F,'CHIRP Payment Calc'!C:C,0))</f>
        <v>0.78</v>
      </c>
      <c r="O103" s="141">
        <f>INDEX('CHIRP Payment Calc'!AL:AL,MATCH(F:F,'CHIRP Payment Calc'!C:C,0))</f>
        <v>1.57</v>
      </c>
      <c r="P103" s="138">
        <f t="shared" si="11"/>
        <v>38971964.937843107</v>
      </c>
      <c r="Q103" s="139">
        <f t="shared" si="12"/>
        <v>2461334.5731330272</v>
      </c>
      <c r="R103" s="139">
        <f t="shared" si="13"/>
        <v>2584491.6688215728</v>
      </c>
      <c r="S103" s="139">
        <f t="shared" si="14"/>
        <v>4006408.0391054251</v>
      </c>
      <c r="T103" s="139">
        <f t="shared" si="15"/>
        <v>7280867.3413949311</v>
      </c>
      <c r="U103" s="139">
        <f t="shared" si="16"/>
        <v>27561532.461654209</v>
      </c>
      <c r="V103" s="140">
        <f t="shared" si="17"/>
        <v>41433299.510976136</v>
      </c>
    </row>
    <row r="104" spans="4:22">
      <c r="D104" s="9" t="s">
        <v>300</v>
      </c>
      <c r="E104" s="9" t="s">
        <v>2279</v>
      </c>
      <c r="F104" s="4" t="s">
        <v>417</v>
      </c>
      <c r="G104" s="9" t="s">
        <v>2977</v>
      </c>
      <c r="H104" s="138">
        <v>112553.38410881997</v>
      </c>
      <c r="I104" s="139">
        <v>0</v>
      </c>
      <c r="J104" s="139">
        <v>92984.714056504541</v>
      </c>
      <c r="K104" s="139">
        <v>89236.804098321707</v>
      </c>
      <c r="L104" s="139">
        <f t="shared" si="9"/>
        <v>205538.09816532451</v>
      </c>
      <c r="M104" s="140">
        <f t="shared" si="10"/>
        <v>89236.804098321707</v>
      </c>
      <c r="N104" s="21">
        <f>INDEX('CHIRP Payment Calc'!AM:AM,MATCH(F:F,'CHIRP Payment Calc'!C:C,0))</f>
        <v>0.91999999999999993</v>
      </c>
      <c r="O104" s="141">
        <f>INDEX('CHIRP Payment Calc'!AL:AL,MATCH(F:F,'CHIRP Payment Calc'!C:C,0))</f>
        <v>1.57</v>
      </c>
      <c r="P104" s="138">
        <f t="shared" si="11"/>
        <v>329196.83274646359</v>
      </c>
      <c r="Q104" s="139">
        <f t="shared" si="12"/>
        <v>20720.365831437703</v>
      </c>
      <c r="R104" s="139">
        <f t="shared" si="13"/>
        <v>109866.43329455104</v>
      </c>
      <c r="S104" s="139">
        <f t="shared" si="14"/>
        <v>91006.315885089542</v>
      </c>
      <c r="T104" s="139">
        <f t="shared" si="15"/>
        <v>0</v>
      </c>
      <c r="U104" s="139">
        <f t="shared" si="16"/>
        <v>149044.44939826074</v>
      </c>
      <c r="V104" s="140">
        <f t="shared" si="17"/>
        <v>349917.19857790135</v>
      </c>
    </row>
    <row r="105" spans="4:22">
      <c r="D105" s="9" t="s">
        <v>300</v>
      </c>
      <c r="E105" s="9" t="s">
        <v>2279</v>
      </c>
      <c r="F105" s="4" t="s">
        <v>1457</v>
      </c>
      <c r="G105" s="9" t="s">
        <v>2666</v>
      </c>
      <c r="H105" s="138">
        <v>0</v>
      </c>
      <c r="I105" s="139">
        <v>0</v>
      </c>
      <c r="J105" s="139">
        <v>0</v>
      </c>
      <c r="K105" s="139">
        <v>0</v>
      </c>
      <c r="L105" s="139">
        <f t="shared" si="9"/>
        <v>0</v>
      </c>
      <c r="M105" s="140">
        <f t="shared" si="10"/>
        <v>0</v>
      </c>
      <c r="N105" s="21">
        <f>INDEX('CHIRP Payment Calc'!AM:AM,MATCH(F:F,'CHIRP Payment Calc'!C:C,0))</f>
        <v>0.3</v>
      </c>
      <c r="O105" s="141">
        <f>INDEX('CHIRP Payment Calc'!AL:AL,MATCH(F:F,'CHIRP Payment Calc'!C:C,0))</f>
        <v>1.57</v>
      </c>
      <c r="P105" s="138">
        <f t="shared" si="11"/>
        <v>0</v>
      </c>
      <c r="Q105" s="139">
        <f t="shared" si="12"/>
        <v>0</v>
      </c>
      <c r="R105" s="139">
        <f t="shared" si="13"/>
        <v>0</v>
      </c>
      <c r="S105" s="139">
        <f t="shared" si="14"/>
        <v>0</v>
      </c>
      <c r="T105" s="139">
        <f t="shared" si="15"/>
        <v>0</v>
      </c>
      <c r="U105" s="139">
        <f t="shared" si="16"/>
        <v>0</v>
      </c>
      <c r="V105" s="140">
        <f t="shared" si="17"/>
        <v>0</v>
      </c>
    </row>
    <row r="106" spans="4:22">
      <c r="D106" s="9" t="s">
        <v>300</v>
      </c>
      <c r="E106" s="9" t="s">
        <v>2279</v>
      </c>
      <c r="F106" s="4" t="s">
        <v>739</v>
      </c>
      <c r="G106" s="9" t="s">
        <v>2336</v>
      </c>
      <c r="H106" s="138">
        <v>8456060.1580687482</v>
      </c>
      <c r="I106" s="139">
        <v>12440685.731085842</v>
      </c>
      <c r="J106" s="139">
        <v>10256905.958552137</v>
      </c>
      <c r="K106" s="139">
        <v>9106625.1598715056</v>
      </c>
      <c r="L106" s="139">
        <f t="shared" si="9"/>
        <v>18712966.116620883</v>
      </c>
      <c r="M106" s="140">
        <f t="shared" si="10"/>
        <v>21547310.890957348</v>
      </c>
      <c r="N106" s="21">
        <f>INDEX('CHIRP Payment Calc'!AM:AM,MATCH(F:F,'CHIRP Payment Calc'!C:C,0))</f>
        <v>0.3</v>
      </c>
      <c r="O106" s="141">
        <f>INDEX('CHIRP Payment Calc'!AL:AL,MATCH(F:F,'CHIRP Payment Calc'!C:C,0))</f>
        <v>1.57</v>
      </c>
      <c r="P106" s="138">
        <f t="shared" si="11"/>
        <v>39443167.933789298</v>
      </c>
      <c r="Q106" s="139">
        <f t="shared" si="12"/>
        <v>2455374.9196260758</v>
      </c>
      <c r="R106" s="139">
        <f t="shared" si="13"/>
        <v>2691584.1351942965</v>
      </c>
      <c r="S106" s="139">
        <f t="shared" si="14"/>
        <v>3273480.625069831</v>
      </c>
      <c r="T106" s="139">
        <f t="shared" si="15"/>
        <v>20723476.496344589</v>
      </c>
      <c r="U106" s="139">
        <f t="shared" si="16"/>
        <v>15210001.596806666</v>
      </c>
      <c r="V106" s="140">
        <f t="shared" si="17"/>
        <v>41898542.853415385</v>
      </c>
    </row>
    <row r="107" spans="4:22">
      <c r="D107" s="9" t="s">
        <v>300</v>
      </c>
      <c r="E107" s="9" t="s">
        <v>2279</v>
      </c>
      <c r="F107" s="4" t="s">
        <v>570</v>
      </c>
      <c r="G107" s="9" t="s">
        <v>2636</v>
      </c>
      <c r="H107" s="138">
        <v>8232947.6320388243</v>
      </c>
      <c r="I107" s="139">
        <v>7339524.2511240235</v>
      </c>
      <c r="J107" s="139">
        <v>1347404.1542951164</v>
      </c>
      <c r="K107" s="139">
        <v>3950497.2477782089</v>
      </c>
      <c r="L107" s="139">
        <f t="shared" si="9"/>
        <v>9580351.7863339409</v>
      </c>
      <c r="M107" s="140">
        <f t="shared" si="10"/>
        <v>11290021.498902231</v>
      </c>
      <c r="N107" s="21">
        <f>INDEX('CHIRP Payment Calc'!AM:AM,MATCH(F:F,'CHIRP Payment Calc'!C:C,0))</f>
        <v>0.3</v>
      </c>
      <c r="O107" s="141">
        <f>INDEX('CHIRP Payment Calc'!AL:AL,MATCH(F:F,'CHIRP Payment Calc'!C:C,0))</f>
        <v>1.57</v>
      </c>
      <c r="P107" s="138">
        <f t="shared" si="11"/>
        <v>20599439.289176688</v>
      </c>
      <c r="Q107" s="139">
        <f t="shared" si="12"/>
        <v>1275372.1410838657</v>
      </c>
      <c r="R107" s="139">
        <f t="shared" si="13"/>
        <v>2620566.8855295992</v>
      </c>
      <c r="S107" s="139">
        <f t="shared" si="14"/>
        <v>430022.60243461165</v>
      </c>
      <c r="T107" s="139">
        <f t="shared" si="15"/>
        <v>12226051.007177418</v>
      </c>
      <c r="U107" s="139">
        <f t="shared" si="16"/>
        <v>6598170.9351189239</v>
      </c>
      <c r="V107" s="140">
        <f t="shared" si="17"/>
        <v>21874811.430260554</v>
      </c>
    </row>
    <row r="108" spans="4:22">
      <c r="D108" s="9" t="s">
        <v>300</v>
      </c>
      <c r="E108" s="9" t="s">
        <v>2279</v>
      </c>
      <c r="F108" s="4" t="s">
        <v>1435</v>
      </c>
      <c r="G108" s="9" t="s">
        <v>2635</v>
      </c>
      <c r="H108" s="138">
        <v>0</v>
      </c>
      <c r="I108" s="139">
        <v>0</v>
      </c>
      <c r="J108" s="139">
        <v>0</v>
      </c>
      <c r="K108" s="139">
        <v>0</v>
      </c>
      <c r="L108" s="139">
        <f t="shared" si="9"/>
        <v>0</v>
      </c>
      <c r="M108" s="140">
        <f t="shared" si="10"/>
        <v>0</v>
      </c>
      <c r="N108" s="21">
        <f>INDEX('CHIRP Payment Calc'!AM:AM,MATCH(F:F,'CHIRP Payment Calc'!C:C,0))</f>
        <v>0.3</v>
      </c>
      <c r="O108" s="141">
        <f>INDEX('CHIRP Payment Calc'!AL:AL,MATCH(F:F,'CHIRP Payment Calc'!C:C,0))</f>
        <v>1.57</v>
      </c>
      <c r="P108" s="138">
        <f t="shared" si="11"/>
        <v>0</v>
      </c>
      <c r="Q108" s="139">
        <f t="shared" si="12"/>
        <v>0</v>
      </c>
      <c r="R108" s="139">
        <f t="shared" si="13"/>
        <v>0</v>
      </c>
      <c r="S108" s="139">
        <f t="shared" si="14"/>
        <v>0</v>
      </c>
      <c r="T108" s="139">
        <f t="shared" si="15"/>
        <v>0</v>
      </c>
      <c r="U108" s="139">
        <f t="shared" si="16"/>
        <v>0</v>
      </c>
      <c r="V108" s="140">
        <f t="shared" si="17"/>
        <v>0</v>
      </c>
    </row>
    <row r="109" spans="4:22">
      <c r="D109" s="9" t="s">
        <v>300</v>
      </c>
      <c r="E109" s="9" t="s">
        <v>2279</v>
      </c>
      <c r="F109" s="4" t="s">
        <v>247</v>
      </c>
      <c r="G109" s="9" t="s">
        <v>2796</v>
      </c>
      <c r="H109" s="138">
        <v>5507453.5919684246</v>
      </c>
      <c r="I109" s="139">
        <v>5212733.7980453791</v>
      </c>
      <c r="J109" s="139">
        <v>1077053.334529073</v>
      </c>
      <c r="K109" s="139">
        <v>1279855.311903083</v>
      </c>
      <c r="L109" s="139">
        <f t="shared" si="9"/>
        <v>6584506.9264974976</v>
      </c>
      <c r="M109" s="140">
        <f t="shared" si="10"/>
        <v>6492589.1099484619</v>
      </c>
      <c r="N109" s="21">
        <f>INDEX('CHIRP Payment Calc'!AM:AM,MATCH(F:F,'CHIRP Payment Calc'!C:C,0))</f>
        <v>0.44</v>
      </c>
      <c r="O109" s="141">
        <f>INDEX('CHIRP Payment Calc'!AL:AL,MATCH(F:F,'CHIRP Payment Calc'!C:C,0))</f>
        <v>1.57</v>
      </c>
      <c r="P109" s="138">
        <f t="shared" si="11"/>
        <v>13090547.950277984</v>
      </c>
      <c r="Q109" s="139">
        <f t="shared" si="12"/>
        <v>805634.97655593057</v>
      </c>
      <c r="R109" s="139">
        <f t="shared" si="13"/>
        <v>2571118.9182664263</v>
      </c>
      <c r="S109" s="139">
        <f t="shared" si="14"/>
        <v>504152.62467318313</v>
      </c>
      <c r="T109" s="139">
        <f t="shared" si="15"/>
        <v>8683280.7033753265</v>
      </c>
      <c r="U109" s="139">
        <f t="shared" si="16"/>
        <v>2137630.6805189792</v>
      </c>
      <c r="V109" s="140">
        <f t="shared" si="17"/>
        <v>13896182.926833915</v>
      </c>
    </row>
    <row r="110" spans="4:22">
      <c r="D110" s="9" t="s">
        <v>300</v>
      </c>
      <c r="E110" s="9" t="s">
        <v>2279</v>
      </c>
      <c r="F110" s="4" t="s">
        <v>244</v>
      </c>
      <c r="G110" s="9" t="s">
        <v>2798</v>
      </c>
      <c r="H110" s="138">
        <v>5686472.7929522656</v>
      </c>
      <c r="I110" s="139">
        <v>5266211.5608921843</v>
      </c>
      <c r="J110" s="139">
        <v>3028367.4419440511</v>
      </c>
      <c r="K110" s="139">
        <v>4958657.8467791164</v>
      </c>
      <c r="L110" s="139">
        <f t="shared" si="9"/>
        <v>8714840.2348963171</v>
      </c>
      <c r="M110" s="140">
        <f t="shared" si="10"/>
        <v>10224869.407671301</v>
      </c>
      <c r="N110" s="21">
        <f>INDEX('CHIRP Payment Calc'!AM:AM,MATCH(F:F,'CHIRP Payment Calc'!C:C,0))</f>
        <v>0.71</v>
      </c>
      <c r="O110" s="141">
        <f>INDEX('CHIRP Payment Calc'!AL:AL,MATCH(F:F,'CHIRP Payment Calc'!C:C,0))</f>
        <v>1.57</v>
      </c>
      <c r="P110" s="138">
        <f t="shared" si="11"/>
        <v>22240581.536820326</v>
      </c>
      <c r="Q110" s="139">
        <f t="shared" si="12"/>
        <v>1384887.9917864413</v>
      </c>
      <c r="R110" s="139">
        <f t="shared" si="13"/>
        <v>4283708.9474759772</v>
      </c>
      <c r="S110" s="139">
        <f t="shared" si="14"/>
        <v>2287383.9189151875</v>
      </c>
      <c r="T110" s="139">
        <f t="shared" si="15"/>
        <v>8772363.0245100595</v>
      </c>
      <c r="U110" s="139">
        <f t="shared" si="16"/>
        <v>8282013.6377055468</v>
      </c>
      <c r="V110" s="140">
        <f t="shared" si="17"/>
        <v>23625469.528606772</v>
      </c>
    </row>
    <row r="111" spans="4:22">
      <c r="D111" s="9" t="s">
        <v>300</v>
      </c>
      <c r="E111" s="9" t="s">
        <v>2279</v>
      </c>
      <c r="F111" s="4" t="s">
        <v>1441</v>
      </c>
      <c r="G111" s="9" t="s">
        <v>2601</v>
      </c>
      <c r="H111" s="138">
        <v>0</v>
      </c>
      <c r="I111" s="139">
        <v>262539.71471932187</v>
      </c>
      <c r="J111" s="139">
        <v>0</v>
      </c>
      <c r="K111" s="139">
        <v>0</v>
      </c>
      <c r="L111" s="139">
        <f t="shared" si="9"/>
        <v>0</v>
      </c>
      <c r="M111" s="140">
        <f t="shared" si="10"/>
        <v>262539.71471932187</v>
      </c>
      <c r="N111" s="21">
        <f>INDEX('CHIRP Payment Calc'!AM:AM,MATCH(F:F,'CHIRP Payment Calc'!C:C,0))</f>
        <v>0.3</v>
      </c>
      <c r="O111" s="141">
        <f>INDEX('CHIRP Payment Calc'!AL:AL,MATCH(F:F,'CHIRP Payment Calc'!C:C,0))</f>
        <v>1.57</v>
      </c>
      <c r="P111" s="138">
        <f t="shared" si="11"/>
        <v>412187.35210933536</v>
      </c>
      <c r="Q111" s="139">
        <f t="shared" si="12"/>
        <v>25146.708484123908</v>
      </c>
      <c r="R111" s="139">
        <f t="shared" si="13"/>
        <v>0</v>
      </c>
      <c r="S111" s="139">
        <f t="shared" si="14"/>
        <v>0</v>
      </c>
      <c r="T111" s="139">
        <f t="shared" si="15"/>
        <v>437334.06059345923</v>
      </c>
      <c r="U111" s="139">
        <f t="shared" si="16"/>
        <v>0</v>
      </c>
      <c r="V111" s="140">
        <f t="shared" si="17"/>
        <v>437334.06059345923</v>
      </c>
    </row>
    <row r="112" spans="4:22">
      <c r="D112" s="9" t="s">
        <v>300</v>
      </c>
      <c r="E112" s="9" t="s">
        <v>2279</v>
      </c>
      <c r="F112" s="4" t="s">
        <v>1454</v>
      </c>
      <c r="G112" s="9" t="s">
        <v>2665</v>
      </c>
      <c r="H112" s="138">
        <v>0</v>
      </c>
      <c r="I112" s="139">
        <v>0</v>
      </c>
      <c r="J112" s="139">
        <v>0</v>
      </c>
      <c r="K112" s="139">
        <v>0</v>
      </c>
      <c r="L112" s="139">
        <f t="shared" si="9"/>
        <v>0</v>
      </c>
      <c r="M112" s="140">
        <f t="shared" si="10"/>
        <v>0</v>
      </c>
      <c r="N112" s="21">
        <f>INDEX('CHIRP Payment Calc'!AM:AM,MATCH(F:F,'CHIRP Payment Calc'!C:C,0))</f>
        <v>0.3</v>
      </c>
      <c r="O112" s="141">
        <f>INDEX('CHIRP Payment Calc'!AL:AL,MATCH(F:F,'CHIRP Payment Calc'!C:C,0))</f>
        <v>1.57</v>
      </c>
      <c r="P112" s="138">
        <f t="shared" si="11"/>
        <v>0</v>
      </c>
      <c r="Q112" s="139">
        <f t="shared" si="12"/>
        <v>0</v>
      </c>
      <c r="R112" s="139">
        <f t="shared" si="13"/>
        <v>0</v>
      </c>
      <c r="S112" s="139">
        <f t="shared" si="14"/>
        <v>0</v>
      </c>
      <c r="T112" s="139">
        <f t="shared" si="15"/>
        <v>0</v>
      </c>
      <c r="U112" s="139">
        <f t="shared" si="16"/>
        <v>0</v>
      </c>
      <c r="V112" s="140">
        <f t="shared" si="17"/>
        <v>0</v>
      </c>
    </row>
    <row r="113" spans="4:22">
      <c r="D113" s="9" t="s">
        <v>300</v>
      </c>
      <c r="E113" s="9" t="s">
        <v>2279</v>
      </c>
      <c r="F113" s="4" t="s">
        <v>420</v>
      </c>
      <c r="G113" s="9" t="s">
        <v>2978</v>
      </c>
      <c r="H113" s="138">
        <v>123654.72082886183</v>
      </c>
      <c r="I113" s="139">
        <v>90547.597368927949</v>
      </c>
      <c r="J113" s="139">
        <v>156075.59779935659</v>
      </c>
      <c r="K113" s="139">
        <v>617652.26569904084</v>
      </c>
      <c r="L113" s="139">
        <f t="shared" si="9"/>
        <v>279730.31862821843</v>
      </c>
      <c r="M113" s="140">
        <f t="shared" si="10"/>
        <v>708199.86306796875</v>
      </c>
      <c r="N113" s="21">
        <f>INDEX('CHIRP Payment Calc'!AM:AM,MATCH(F:F,'CHIRP Payment Calc'!C:C,0))</f>
        <v>1.5</v>
      </c>
      <c r="O113" s="141">
        <f>INDEX('CHIRP Payment Calc'!AL:AL,MATCH(F:F,'CHIRP Payment Calc'!C:C,0))</f>
        <v>1.57</v>
      </c>
      <c r="P113" s="138">
        <f t="shared" si="11"/>
        <v>1531469.2629590384</v>
      </c>
      <c r="Q113" s="139">
        <f t="shared" si="12"/>
        <v>96828.807830636462</v>
      </c>
      <c r="R113" s="139">
        <f t="shared" si="13"/>
        <v>196797.96418386497</v>
      </c>
      <c r="S113" s="139">
        <f t="shared" si="14"/>
        <v>249056.8049989733</v>
      </c>
      <c r="T113" s="139">
        <f t="shared" si="15"/>
        <v>150832.60251375797</v>
      </c>
      <c r="U113" s="139">
        <f t="shared" si="16"/>
        <v>1031610.699093079</v>
      </c>
      <c r="V113" s="140">
        <f t="shared" si="17"/>
        <v>1628298.0707896752</v>
      </c>
    </row>
    <row r="114" spans="4:22">
      <c r="D114" s="9" t="s">
        <v>300</v>
      </c>
      <c r="E114" s="9" t="s">
        <v>2279</v>
      </c>
      <c r="F114" s="4" t="s">
        <v>1429</v>
      </c>
      <c r="G114" s="9" t="s">
        <v>2672</v>
      </c>
      <c r="H114" s="138">
        <v>0</v>
      </c>
      <c r="I114" s="139">
        <v>0</v>
      </c>
      <c r="J114" s="139">
        <v>0</v>
      </c>
      <c r="K114" s="139">
        <v>0</v>
      </c>
      <c r="L114" s="139">
        <f t="shared" si="9"/>
        <v>0</v>
      </c>
      <c r="M114" s="140">
        <f t="shared" si="10"/>
        <v>0</v>
      </c>
      <c r="N114" s="21">
        <f>INDEX('CHIRP Payment Calc'!AM:AM,MATCH(F:F,'CHIRP Payment Calc'!C:C,0))</f>
        <v>0.3</v>
      </c>
      <c r="O114" s="141">
        <f>INDEX('CHIRP Payment Calc'!AL:AL,MATCH(F:F,'CHIRP Payment Calc'!C:C,0))</f>
        <v>1.57</v>
      </c>
      <c r="P114" s="138">
        <f t="shared" si="11"/>
        <v>0</v>
      </c>
      <c r="Q114" s="139">
        <f t="shared" si="12"/>
        <v>0</v>
      </c>
      <c r="R114" s="139">
        <f t="shared" si="13"/>
        <v>0</v>
      </c>
      <c r="S114" s="139">
        <f t="shared" si="14"/>
        <v>0</v>
      </c>
      <c r="T114" s="139">
        <f t="shared" si="15"/>
        <v>0</v>
      </c>
      <c r="U114" s="139">
        <f t="shared" si="16"/>
        <v>0</v>
      </c>
      <c r="V114" s="140">
        <f t="shared" si="17"/>
        <v>0</v>
      </c>
    </row>
    <row r="115" spans="4:22">
      <c r="D115" s="9" t="s">
        <v>300</v>
      </c>
      <c r="E115" s="9" t="s">
        <v>2279</v>
      </c>
      <c r="F115" s="4" t="s">
        <v>274</v>
      </c>
      <c r="G115" s="9" t="s">
        <v>2817</v>
      </c>
      <c r="H115" s="138">
        <v>953429.00225740671</v>
      </c>
      <c r="I115" s="139">
        <v>1848842.7205484654</v>
      </c>
      <c r="J115" s="139">
        <v>230804.15048000301</v>
      </c>
      <c r="K115" s="139">
        <v>540862.95879312663</v>
      </c>
      <c r="L115" s="139">
        <f t="shared" si="9"/>
        <v>1184233.1527374098</v>
      </c>
      <c r="M115" s="140">
        <f t="shared" si="10"/>
        <v>2389705.6793415919</v>
      </c>
      <c r="N115" s="21">
        <f>INDEX('CHIRP Payment Calc'!AM:AM,MATCH(F:F,'CHIRP Payment Calc'!C:C,0))</f>
        <v>1.79</v>
      </c>
      <c r="O115" s="141">
        <f>INDEX('CHIRP Payment Calc'!AL:AL,MATCH(F:F,'CHIRP Payment Calc'!C:C,0))</f>
        <v>1.57</v>
      </c>
      <c r="P115" s="138">
        <f t="shared" si="11"/>
        <v>5871615.2599662635</v>
      </c>
      <c r="Q115" s="139">
        <f t="shared" si="12"/>
        <v>361777.23402882507</v>
      </c>
      <c r="R115" s="139">
        <f t="shared" si="13"/>
        <v>1810756.4074703003</v>
      </c>
      <c r="S115" s="139">
        <f t="shared" si="14"/>
        <v>439510.03123319725</v>
      </c>
      <c r="T115" s="139">
        <f t="shared" si="15"/>
        <v>3079769.836881794</v>
      </c>
      <c r="U115" s="139">
        <f t="shared" si="16"/>
        <v>903356.21840979671</v>
      </c>
      <c r="V115" s="140">
        <f t="shared" si="17"/>
        <v>6233392.4939950891</v>
      </c>
    </row>
    <row r="116" spans="4:22">
      <c r="D116" s="9" t="s">
        <v>300</v>
      </c>
      <c r="E116" s="9" t="s">
        <v>2279</v>
      </c>
      <c r="F116" s="4" t="s">
        <v>1451</v>
      </c>
      <c r="G116" s="9" t="s">
        <v>2662</v>
      </c>
      <c r="H116" s="138">
        <v>0</v>
      </c>
      <c r="I116" s="139">
        <v>0</v>
      </c>
      <c r="J116" s="139">
        <v>0</v>
      </c>
      <c r="K116" s="139">
        <v>0</v>
      </c>
      <c r="L116" s="139">
        <f t="shared" si="9"/>
        <v>0</v>
      </c>
      <c r="M116" s="140">
        <f t="shared" si="10"/>
        <v>0</v>
      </c>
      <c r="N116" s="21">
        <f>INDEX('CHIRP Payment Calc'!AM:AM,MATCH(F:F,'CHIRP Payment Calc'!C:C,0))</f>
        <v>0.3</v>
      </c>
      <c r="O116" s="141">
        <f>INDEX('CHIRP Payment Calc'!AL:AL,MATCH(F:F,'CHIRP Payment Calc'!C:C,0))</f>
        <v>1.57</v>
      </c>
      <c r="P116" s="138">
        <f t="shared" si="11"/>
        <v>0</v>
      </c>
      <c r="Q116" s="139">
        <f t="shared" si="12"/>
        <v>0</v>
      </c>
      <c r="R116" s="139">
        <f t="shared" si="13"/>
        <v>0</v>
      </c>
      <c r="S116" s="139">
        <f t="shared" si="14"/>
        <v>0</v>
      </c>
      <c r="T116" s="139">
        <f t="shared" si="15"/>
        <v>0</v>
      </c>
      <c r="U116" s="139">
        <f t="shared" si="16"/>
        <v>0</v>
      </c>
      <c r="V116" s="140">
        <f t="shared" si="17"/>
        <v>0</v>
      </c>
    </row>
    <row r="117" spans="4:22">
      <c r="D117" s="9" t="s">
        <v>300</v>
      </c>
      <c r="E117" s="9" t="s">
        <v>2279</v>
      </c>
      <c r="F117" s="4" t="s">
        <v>1138</v>
      </c>
      <c r="G117" s="9" t="s">
        <v>2821</v>
      </c>
      <c r="H117" s="138">
        <v>6207327.1308846027</v>
      </c>
      <c r="I117" s="139">
        <v>6198322.8519893875</v>
      </c>
      <c r="J117" s="139">
        <v>1978102.0439437286</v>
      </c>
      <c r="K117" s="139">
        <v>5632775.1961563062</v>
      </c>
      <c r="L117" s="139">
        <f t="shared" si="9"/>
        <v>8185429.174828331</v>
      </c>
      <c r="M117" s="140">
        <f t="shared" si="10"/>
        <v>11831098.048145693</v>
      </c>
      <c r="N117" s="21">
        <f>INDEX('CHIRP Payment Calc'!AM:AM,MATCH(F:F,'CHIRP Payment Calc'!C:C,0))</f>
        <v>0.53</v>
      </c>
      <c r="O117" s="141">
        <f>INDEX('CHIRP Payment Calc'!AL:AL,MATCH(F:F,'CHIRP Payment Calc'!C:C,0))</f>
        <v>1.57</v>
      </c>
      <c r="P117" s="138">
        <f t="shared" si="11"/>
        <v>22913101.398247756</v>
      </c>
      <c r="Q117" s="139">
        <f t="shared" si="12"/>
        <v>1425794.6367497379</v>
      </c>
      <c r="R117" s="139">
        <f t="shared" si="13"/>
        <v>3490592.4449536758</v>
      </c>
      <c r="S117" s="139">
        <f t="shared" si="14"/>
        <v>1115312.8545640174</v>
      </c>
      <c r="T117" s="139">
        <f t="shared" si="15"/>
        <v>10325057.695091076</v>
      </c>
      <c r="U117" s="139">
        <f t="shared" si="16"/>
        <v>9407933.0403887257</v>
      </c>
      <c r="V117" s="140">
        <f t="shared" si="17"/>
        <v>24338896.034997493</v>
      </c>
    </row>
    <row r="118" spans="4:22">
      <c r="D118" s="9" t="s">
        <v>300</v>
      </c>
      <c r="E118" s="9" t="s">
        <v>2279</v>
      </c>
      <c r="F118" s="4" t="s">
        <v>567</v>
      </c>
      <c r="G118" s="9" t="s">
        <v>2857</v>
      </c>
      <c r="H118" s="138">
        <v>1030446.3040524781</v>
      </c>
      <c r="I118" s="139">
        <v>184518.7197148717</v>
      </c>
      <c r="J118" s="139">
        <v>426772.60715285648</v>
      </c>
      <c r="K118" s="139">
        <v>1056026.0986697702</v>
      </c>
      <c r="L118" s="139">
        <f t="shared" si="9"/>
        <v>1457218.9112053346</v>
      </c>
      <c r="M118" s="140">
        <f t="shared" si="10"/>
        <v>1240544.8183846418</v>
      </c>
      <c r="N118" s="21">
        <f>INDEX('CHIRP Payment Calc'!AM:AM,MATCH(F:F,'CHIRP Payment Calc'!C:C,0))</f>
        <v>0.53</v>
      </c>
      <c r="O118" s="141">
        <f>INDEX('CHIRP Payment Calc'!AL:AL,MATCH(F:F,'CHIRP Payment Calc'!C:C,0))</f>
        <v>1.57</v>
      </c>
      <c r="P118" s="138">
        <f t="shared" si="11"/>
        <v>2719981.3878027149</v>
      </c>
      <c r="Q118" s="139">
        <f t="shared" si="12"/>
        <v>171257.26073987602</v>
      </c>
      <c r="R118" s="139">
        <f t="shared" si="13"/>
        <v>579455.21607195062</v>
      </c>
      <c r="S118" s="139">
        <f t="shared" si="14"/>
        <v>240627.10828831271</v>
      </c>
      <c r="T118" s="139">
        <f t="shared" si="15"/>
        <v>307368.05299983936</v>
      </c>
      <c r="U118" s="139">
        <f t="shared" si="16"/>
        <v>1763788.2711824887</v>
      </c>
      <c r="V118" s="140">
        <f t="shared" si="17"/>
        <v>2891238.6485425914</v>
      </c>
    </row>
    <row r="119" spans="4:22">
      <c r="D119" s="9" t="s">
        <v>300</v>
      </c>
      <c r="E119" s="9" t="s">
        <v>2279</v>
      </c>
      <c r="F119" s="4" t="s">
        <v>411</v>
      </c>
      <c r="G119" s="9" t="s">
        <v>2979</v>
      </c>
      <c r="H119" s="138">
        <v>1240248.8522691</v>
      </c>
      <c r="I119" s="139">
        <v>2513435.1485780296</v>
      </c>
      <c r="J119" s="139">
        <v>462421.73229246913</v>
      </c>
      <c r="K119" s="139">
        <v>1095340.273901951</v>
      </c>
      <c r="L119" s="139">
        <f t="shared" si="9"/>
        <v>1702670.5845615692</v>
      </c>
      <c r="M119" s="140">
        <f t="shared" si="10"/>
        <v>3608775.4224799806</v>
      </c>
      <c r="N119" s="21">
        <f>INDEX('CHIRP Payment Calc'!AM:AM,MATCH(F:F,'CHIRP Payment Calc'!C:C,0))</f>
        <v>0.44</v>
      </c>
      <c r="O119" s="141">
        <f>INDEX('CHIRP Payment Calc'!AL:AL,MATCH(F:F,'CHIRP Payment Calc'!C:C,0))</f>
        <v>1.57</v>
      </c>
      <c r="P119" s="138">
        <f t="shared" si="11"/>
        <v>6414952.4705006601</v>
      </c>
      <c r="Q119" s="139">
        <f t="shared" si="12"/>
        <v>396789.94921964849</v>
      </c>
      <c r="R119" s="139">
        <f t="shared" si="13"/>
        <v>579002.11670918204</v>
      </c>
      <c r="S119" s="139">
        <f t="shared" si="14"/>
        <v>216452.72575392175</v>
      </c>
      <c r="T119" s="139">
        <f t="shared" si="15"/>
        <v>4186836.2687188401</v>
      </c>
      <c r="U119" s="139">
        <f t="shared" si="16"/>
        <v>1829451.3085383649</v>
      </c>
      <c r="V119" s="140">
        <f t="shared" si="17"/>
        <v>6811742.4197203089</v>
      </c>
    </row>
    <row r="120" spans="4:22">
      <c r="D120" s="9" t="s">
        <v>300</v>
      </c>
      <c r="E120" s="9" t="s">
        <v>2279</v>
      </c>
      <c r="F120" s="4" t="s">
        <v>1048</v>
      </c>
      <c r="G120" s="9" t="s">
        <v>2670</v>
      </c>
      <c r="H120" s="138">
        <v>5187303.2742959959</v>
      </c>
      <c r="I120" s="139">
        <v>2549749.8534334316</v>
      </c>
      <c r="J120" s="139">
        <v>1000320.2114501713</v>
      </c>
      <c r="K120" s="139">
        <v>1058820.7863238922</v>
      </c>
      <c r="L120" s="139">
        <f t="shared" si="9"/>
        <v>6187623.4857461676</v>
      </c>
      <c r="M120" s="140">
        <f t="shared" si="10"/>
        <v>3608570.639757324</v>
      </c>
      <c r="N120" s="21">
        <f>INDEX('CHIRP Payment Calc'!AM:AM,MATCH(F:F,'CHIRP Payment Calc'!C:C,0))</f>
        <v>0.44</v>
      </c>
      <c r="O120" s="141">
        <f>INDEX('CHIRP Payment Calc'!AL:AL,MATCH(F:F,'CHIRP Payment Calc'!C:C,0))</f>
        <v>1.57</v>
      </c>
      <c r="P120" s="138">
        <f t="shared" si="11"/>
        <v>8388010.2381473128</v>
      </c>
      <c r="Q120" s="139">
        <f t="shared" si="12"/>
        <v>517668.23995798716</v>
      </c>
      <c r="R120" s="139">
        <f t="shared" si="13"/>
        <v>2421658.8230135152</v>
      </c>
      <c r="S120" s="139">
        <f t="shared" si="14"/>
        <v>468234.99259369727</v>
      </c>
      <c r="T120" s="139">
        <f t="shared" si="15"/>
        <v>4247328.6683188202</v>
      </c>
      <c r="U120" s="139">
        <f t="shared" si="16"/>
        <v>1768455.994179267</v>
      </c>
      <c r="V120" s="140">
        <f t="shared" si="17"/>
        <v>8905678.4781052992</v>
      </c>
    </row>
    <row r="121" spans="4:22">
      <c r="D121" s="9" t="s">
        <v>300</v>
      </c>
      <c r="E121" s="9" t="s">
        <v>2279</v>
      </c>
      <c r="F121" s="4" t="s">
        <v>1611</v>
      </c>
      <c r="G121" s="9" t="s">
        <v>2980</v>
      </c>
      <c r="H121" s="138">
        <v>1579613.5480271636</v>
      </c>
      <c r="I121" s="139">
        <v>2892353.1810216485</v>
      </c>
      <c r="J121" s="139">
        <v>420901.64635784493</v>
      </c>
      <c r="K121" s="139">
        <v>935836.48388790514</v>
      </c>
      <c r="L121" s="139">
        <f t="shared" si="9"/>
        <v>2000515.1943850084</v>
      </c>
      <c r="M121" s="140">
        <f t="shared" si="10"/>
        <v>3828189.6649095537</v>
      </c>
      <c r="N121" s="21">
        <f>INDEX('CHIRP Payment Calc'!AM:AM,MATCH(F:F,'CHIRP Payment Calc'!C:C,0))</f>
        <v>0.49</v>
      </c>
      <c r="O121" s="141">
        <f>INDEX('CHIRP Payment Calc'!AL:AL,MATCH(F:F,'CHIRP Payment Calc'!C:C,0))</f>
        <v>1.57</v>
      </c>
      <c r="P121" s="138">
        <f t="shared" si="11"/>
        <v>6990510.2191566536</v>
      </c>
      <c r="Q121" s="139">
        <f t="shared" si="12"/>
        <v>431204.74074323103</v>
      </c>
      <c r="R121" s="139">
        <f t="shared" si="13"/>
        <v>821231.44671969244</v>
      </c>
      <c r="S121" s="139">
        <f t="shared" si="14"/>
        <v>219406.17735674896</v>
      </c>
      <c r="T121" s="139">
        <f t="shared" si="15"/>
        <v>4818031.2935851337</v>
      </c>
      <c r="U121" s="139">
        <f t="shared" si="16"/>
        <v>1563046.0422383097</v>
      </c>
      <c r="V121" s="140">
        <f t="shared" si="17"/>
        <v>7421714.9598998856</v>
      </c>
    </row>
    <row r="122" spans="4:22">
      <c r="D122" s="9" t="s">
        <v>300</v>
      </c>
      <c r="E122" s="9" t="s">
        <v>2279</v>
      </c>
      <c r="F122" s="4" t="s">
        <v>1663</v>
      </c>
      <c r="G122" s="9" t="s">
        <v>2799</v>
      </c>
      <c r="H122" s="138">
        <v>336876.79459827341</v>
      </c>
      <c r="I122" s="139">
        <v>104176.07542088721</v>
      </c>
      <c r="J122" s="139">
        <v>1009788.8974892426</v>
      </c>
      <c r="K122" s="139">
        <v>53060.131709864087</v>
      </c>
      <c r="L122" s="139">
        <f t="shared" si="9"/>
        <v>1346665.692087516</v>
      </c>
      <c r="M122" s="140">
        <f t="shared" si="10"/>
        <v>157236.20713075128</v>
      </c>
      <c r="N122" s="21">
        <f>INDEX('CHIRP Payment Calc'!AM:AM,MATCH(F:F,'CHIRP Payment Calc'!C:C,0))</f>
        <v>0.3</v>
      </c>
      <c r="O122" s="141">
        <f>INDEX('CHIRP Payment Calc'!AL:AL,MATCH(F:F,'CHIRP Payment Calc'!C:C,0))</f>
        <v>1.57</v>
      </c>
      <c r="P122" s="138">
        <f t="shared" si="11"/>
        <v>650860.55282153422</v>
      </c>
      <c r="Q122" s="139">
        <f t="shared" si="12"/>
        <v>40797.579513609213</v>
      </c>
      <c r="R122" s="139">
        <f t="shared" si="13"/>
        <v>107228.68793578995</v>
      </c>
      <c r="S122" s="139">
        <f t="shared" si="14"/>
        <v>322273.05239018385</v>
      </c>
      <c r="T122" s="139">
        <f t="shared" si="15"/>
        <v>173534.68266397127</v>
      </c>
      <c r="U122" s="139">
        <f t="shared" si="16"/>
        <v>88621.709345198542</v>
      </c>
      <c r="V122" s="140">
        <f t="shared" si="17"/>
        <v>691658.13233514363</v>
      </c>
    </row>
    <row r="123" spans="4:22">
      <c r="D123" s="9" t="s">
        <v>300</v>
      </c>
      <c r="E123" s="9" t="s">
        <v>2279</v>
      </c>
      <c r="F123" s="4" t="s">
        <v>14</v>
      </c>
      <c r="G123" s="9" t="s">
        <v>2794</v>
      </c>
      <c r="H123" s="138">
        <v>24168070.475164913</v>
      </c>
      <c r="I123" s="139">
        <v>38510145.636117138</v>
      </c>
      <c r="J123" s="139">
        <v>11354970.831464022</v>
      </c>
      <c r="K123" s="139">
        <v>26156683.228344124</v>
      </c>
      <c r="L123" s="139">
        <f t="shared" si="9"/>
        <v>35523041.306628935</v>
      </c>
      <c r="M123" s="140">
        <f t="shared" si="10"/>
        <v>64666828.864461258</v>
      </c>
      <c r="N123" s="21">
        <f>INDEX('CHIRP Payment Calc'!AM:AM,MATCH(F:F,'CHIRP Payment Calc'!C:C,0))</f>
        <v>0.47</v>
      </c>
      <c r="O123" s="141">
        <f>INDEX('CHIRP Payment Calc'!AL:AL,MATCH(F:F,'CHIRP Payment Calc'!C:C,0))</f>
        <v>1.57</v>
      </c>
      <c r="P123" s="138">
        <f t="shared" si="11"/>
        <v>118222750.73131977</v>
      </c>
      <c r="Q123" s="139">
        <f t="shared" si="12"/>
        <v>7343469.4389367979</v>
      </c>
      <c r="R123" s="139">
        <f t="shared" si="13"/>
        <v>12051982.093716189</v>
      </c>
      <c r="S123" s="139">
        <f t="shared" si="14"/>
        <v>5677485.4157320112</v>
      </c>
      <c r="T123" s="139">
        <f t="shared" si="15"/>
        <v>64149526.417722985</v>
      </c>
      <c r="U123" s="139">
        <f t="shared" si="16"/>
        <v>43687226.243085407</v>
      </c>
      <c r="V123" s="140">
        <f t="shared" si="17"/>
        <v>125566220.17025658</v>
      </c>
    </row>
    <row r="124" spans="4:22">
      <c r="D124" s="9" t="s">
        <v>300</v>
      </c>
      <c r="E124" s="9" t="s">
        <v>2279</v>
      </c>
      <c r="F124" s="4" t="s">
        <v>839</v>
      </c>
      <c r="G124" s="9" t="s">
        <v>2795</v>
      </c>
      <c r="H124" s="138">
        <v>5212482.6078517968</v>
      </c>
      <c r="I124" s="139">
        <v>7169580.8764163963</v>
      </c>
      <c r="J124" s="139">
        <v>2210526.5435515125</v>
      </c>
      <c r="K124" s="139">
        <v>3841604.9672276499</v>
      </c>
      <c r="L124" s="139">
        <f t="shared" si="9"/>
        <v>7423009.1514033098</v>
      </c>
      <c r="M124" s="140">
        <f t="shared" si="10"/>
        <v>11011185.843644045</v>
      </c>
      <c r="N124" s="21">
        <f>INDEX('CHIRP Payment Calc'!AM:AM,MATCH(F:F,'CHIRP Payment Calc'!C:C,0))</f>
        <v>0.47</v>
      </c>
      <c r="O124" s="141">
        <f>INDEX('CHIRP Payment Calc'!AL:AL,MATCH(F:F,'CHIRP Payment Calc'!C:C,0))</f>
        <v>1.57</v>
      </c>
      <c r="P124" s="138">
        <f t="shared" si="11"/>
        <v>20776376.07568071</v>
      </c>
      <c r="Q124" s="139">
        <f t="shared" si="12"/>
        <v>1287475.3598685975</v>
      </c>
      <c r="R124" s="139">
        <f t="shared" si="13"/>
        <v>2599328.197018933</v>
      </c>
      <c r="S124" s="139">
        <f t="shared" si="14"/>
        <v>1105263.2717757563</v>
      </c>
      <c r="T124" s="139">
        <f t="shared" si="15"/>
        <v>11942962.308725456</v>
      </c>
      <c r="U124" s="139">
        <f t="shared" si="16"/>
        <v>6416297.6580291605</v>
      </c>
      <c r="V124" s="140">
        <f t="shared" si="17"/>
        <v>22063851.435549308</v>
      </c>
    </row>
    <row r="125" spans="4:22">
      <c r="D125" s="9" t="s">
        <v>300</v>
      </c>
      <c r="E125" s="9" t="s">
        <v>2279</v>
      </c>
      <c r="F125" s="4" t="s">
        <v>760</v>
      </c>
      <c r="G125" s="9" t="s">
        <v>2628</v>
      </c>
      <c r="H125" s="138">
        <v>4525226.5943462234</v>
      </c>
      <c r="I125" s="139">
        <v>12900418.912239833</v>
      </c>
      <c r="J125" s="139">
        <v>1331313.747609159</v>
      </c>
      <c r="K125" s="139">
        <v>5234966.8014042843</v>
      </c>
      <c r="L125" s="139">
        <f t="shared" si="9"/>
        <v>5856540.3419553824</v>
      </c>
      <c r="M125" s="140">
        <f t="shared" si="10"/>
        <v>18135385.713644117</v>
      </c>
      <c r="N125" s="21">
        <f>INDEX('CHIRP Payment Calc'!AM:AM,MATCH(F:F,'CHIRP Payment Calc'!C:C,0))</f>
        <v>0.55000000000000004</v>
      </c>
      <c r="O125" s="141">
        <f>INDEX('CHIRP Payment Calc'!AL:AL,MATCH(F:F,'CHIRP Payment Calc'!C:C,0))</f>
        <v>1.57</v>
      </c>
      <c r="P125" s="138">
        <f t="shared" si="11"/>
        <v>31693652.758496724</v>
      </c>
      <c r="Q125" s="139">
        <f t="shared" si="12"/>
        <v>1958823.5596763052</v>
      </c>
      <c r="R125" s="139">
        <f t="shared" si="13"/>
        <v>2640715.7844991223</v>
      </c>
      <c r="S125" s="139">
        <f t="shared" si="14"/>
        <v>778960.17147344421</v>
      </c>
      <c r="T125" s="139">
        <f t="shared" si="15"/>
        <v>21489291.981131606</v>
      </c>
      <c r="U125" s="139">
        <f t="shared" si="16"/>
        <v>8743508.3810688592</v>
      </c>
      <c r="V125" s="140">
        <f t="shared" si="17"/>
        <v>33652476.318173036</v>
      </c>
    </row>
    <row r="126" spans="4:22">
      <c r="D126" s="9" t="s">
        <v>300</v>
      </c>
      <c r="E126" s="9" t="s">
        <v>2279</v>
      </c>
      <c r="F126" s="4" t="s">
        <v>1647</v>
      </c>
      <c r="G126" s="9" t="s">
        <v>2642</v>
      </c>
      <c r="H126" s="138">
        <v>3286026.4524126318</v>
      </c>
      <c r="I126" s="139">
        <v>3495911.8459465788</v>
      </c>
      <c r="J126" s="139">
        <v>612343.0987942256</v>
      </c>
      <c r="K126" s="139">
        <v>1464958.1071838255</v>
      </c>
      <c r="L126" s="139">
        <f t="shared" si="9"/>
        <v>3898369.5512068574</v>
      </c>
      <c r="M126" s="140">
        <f t="shared" si="10"/>
        <v>4960869.9531304045</v>
      </c>
      <c r="N126" s="21">
        <f>INDEX('CHIRP Payment Calc'!AM:AM,MATCH(F:F,'CHIRP Payment Calc'!C:C,0))</f>
        <v>0.38</v>
      </c>
      <c r="O126" s="141">
        <f>INDEX('CHIRP Payment Calc'!AL:AL,MATCH(F:F,'CHIRP Payment Calc'!C:C,0))</f>
        <v>1.57</v>
      </c>
      <c r="P126" s="138">
        <f t="shared" si="11"/>
        <v>9269946.2558733411</v>
      </c>
      <c r="Q126" s="139">
        <f t="shared" si="12"/>
        <v>572687.26411705534</v>
      </c>
      <c r="R126" s="139">
        <f t="shared" si="13"/>
        <v>1324870.0816093371</v>
      </c>
      <c r="S126" s="139">
        <f t="shared" si="14"/>
        <v>247542.95483170822</v>
      </c>
      <c r="T126" s="139">
        <f t="shared" si="15"/>
        <v>5823428.7513380684</v>
      </c>
      <c r="U126" s="139">
        <f t="shared" si="16"/>
        <v>2446791.7322112834</v>
      </c>
      <c r="V126" s="140">
        <f t="shared" si="17"/>
        <v>9842633.5199903958</v>
      </c>
    </row>
    <row r="127" spans="4:22">
      <c r="D127" s="9" t="s">
        <v>300</v>
      </c>
      <c r="E127" s="9" t="s">
        <v>2279</v>
      </c>
      <c r="F127" s="4" t="s">
        <v>772</v>
      </c>
      <c r="G127" s="9" t="s">
        <v>2645</v>
      </c>
      <c r="H127" s="138">
        <v>13531882.986637393</v>
      </c>
      <c r="I127" s="139">
        <v>11000351.409851627</v>
      </c>
      <c r="J127" s="139">
        <v>1912297.1358725904</v>
      </c>
      <c r="K127" s="139">
        <v>7987549.7663184153</v>
      </c>
      <c r="L127" s="139">
        <f t="shared" si="9"/>
        <v>15444180.122509982</v>
      </c>
      <c r="M127" s="140">
        <f t="shared" si="10"/>
        <v>18987901.176170044</v>
      </c>
      <c r="N127" s="21">
        <f>INDEX('CHIRP Payment Calc'!AM:AM,MATCH(F:F,'CHIRP Payment Calc'!C:C,0))</f>
        <v>0.3</v>
      </c>
      <c r="O127" s="141">
        <f>INDEX('CHIRP Payment Calc'!AL:AL,MATCH(F:F,'CHIRP Payment Calc'!C:C,0))</f>
        <v>1.57</v>
      </c>
      <c r="P127" s="138">
        <f t="shared" si="11"/>
        <v>34444258.883339964</v>
      </c>
      <c r="Q127" s="139">
        <f t="shared" si="12"/>
        <v>2138379.7599517237</v>
      </c>
      <c r="R127" s="139">
        <f t="shared" si="13"/>
        <v>4307230.658876624</v>
      </c>
      <c r="S127" s="139">
        <f t="shared" si="14"/>
        <v>610307.59655508201</v>
      </c>
      <c r="T127" s="139">
        <f t="shared" si="15"/>
        <v>18324192.799434543</v>
      </c>
      <c r="U127" s="139">
        <f t="shared" si="16"/>
        <v>13340907.588425439</v>
      </c>
      <c r="V127" s="140">
        <f t="shared" si="17"/>
        <v>36582638.643291682</v>
      </c>
    </row>
    <row r="128" spans="4:22">
      <c r="D128" s="9" t="s">
        <v>300</v>
      </c>
      <c r="E128" s="9" t="s">
        <v>2279</v>
      </c>
      <c r="F128" s="4" t="s">
        <v>277</v>
      </c>
      <c r="G128" s="9" t="s">
        <v>2818</v>
      </c>
      <c r="H128" s="138">
        <v>10404926.989484137</v>
      </c>
      <c r="I128" s="139">
        <v>10329526.573856549</v>
      </c>
      <c r="J128" s="139">
        <v>360564.71388292749</v>
      </c>
      <c r="K128" s="139">
        <v>1013857.6390752565</v>
      </c>
      <c r="L128" s="139">
        <f t="shared" si="9"/>
        <v>10765491.703367064</v>
      </c>
      <c r="M128" s="140">
        <f t="shared" si="10"/>
        <v>11343384.212931806</v>
      </c>
      <c r="N128" s="21">
        <f>INDEX('CHIRP Payment Calc'!AM:AM,MATCH(F:F,'CHIRP Payment Calc'!C:C,0))</f>
        <v>0.39</v>
      </c>
      <c r="O128" s="141">
        <f>INDEX('CHIRP Payment Calc'!AL:AL,MATCH(F:F,'CHIRP Payment Calc'!C:C,0))</f>
        <v>1.57</v>
      </c>
      <c r="P128" s="138">
        <f t="shared" si="11"/>
        <v>22007654.978616089</v>
      </c>
      <c r="Q128" s="139">
        <f t="shared" si="12"/>
        <v>1347530.5529923879</v>
      </c>
      <c r="R128" s="139">
        <f t="shared" si="13"/>
        <v>4305487.030131367</v>
      </c>
      <c r="S128" s="139">
        <f t="shared" si="14"/>
        <v>149595.99831312953</v>
      </c>
      <c r="T128" s="139">
        <f t="shared" si="15"/>
        <v>17206744.531517014</v>
      </c>
      <c r="U128" s="139">
        <f t="shared" si="16"/>
        <v>1693357.9716469711</v>
      </c>
      <c r="V128" s="140">
        <f t="shared" si="17"/>
        <v>23355185.531608485</v>
      </c>
    </row>
    <row r="129" spans="4:22">
      <c r="D129" s="9" t="s">
        <v>300</v>
      </c>
      <c r="E129" s="9" t="s">
        <v>2279</v>
      </c>
      <c r="F129" s="4" t="s">
        <v>2951</v>
      </c>
      <c r="G129" s="9" t="s">
        <v>2867</v>
      </c>
      <c r="H129" s="138">
        <v>0</v>
      </c>
      <c r="I129" s="139">
        <v>0</v>
      </c>
      <c r="J129" s="139">
        <v>0</v>
      </c>
      <c r="K129" s="139">
        <v>0</v>
      </c>
      <c r="L129" s="139">
        <f t="shared" si="9"/>
        <v>0</v>
      </c>
      <c r="M129" s="140">
        <f t="shared" si="10"/>
        <v>0</v>
      </c>
      <c r="N129" s="21">
        <f>INDEX('CHIRP Payment Calc'!AM:AM,MATCH(F:F,'CHIRP Payment Calc'!C:C,0))</f>
        <v>0.3</v>
      </c>
      <c r="O129" s="141">
        <f>INDEX('CHIRP Payment Calc'!AL:AL,MATCH(F:F,'CHIRP Payment Calc'!C:C,0))</f>
        <v>1.57</v>
      </c>
      <c r="P129" s="138">
        <f t="shared" si="11"/>
        <v>0</v>
      </c>
      <c r="Q129" s="139">
        <f t="shared" si="12"/>
        <v>0</v>
      </c>
      <c r="R129" s="139">
        <f t="shared" si="13"/>
        <v>0</v>
      </c>
      <c r="S129" s="139">
        <f t="shared" si="14"/>
        <v>0</v>
      </c>
      <c r="T129" s="139">
        <f t="shared" si="15"/>
        <v>0</v>
      </c>
      <c r="U129" s="139">
        <f t="shared" si="16"/>
        <v>0</v>
      </c>
      <c r="V129" s="140">
        <f t="shared" si="17"/>
        <v>0</v>
      </c>
    </row>
    <row r="130" spans="4:22">
      <c r="D130" s="9" t="s">
        <v>300</v>
      </c>
      <c r="E130" s="9" t="s">
        <v>2279</v>
      </c>
      <c r="F130" s="4" t="s">
        <v>1277</v>
      </c>
      <c r="G130" s="9" t="s">
        <v>2820</v>
      </c>
      <c r="H130" s="138">
        <v>11320896.639788669</v>
      </c>
      <c r="I130" s="139">
        <v>7514474.6751398956</v>
      </c>
      <c r="J130" s="139">
        <v>1222818.3977173073</v>
      </c>
      <c r="K130" s="139">
        <v>2593974.2819829755</v>
      </c>
      <c r="L130" s="139">
        <f t="shared" si="9"/>
        <v>12543715.037505977</v>
      </c>
      <c r="M130" s="140">
        <f t="shared" si="10"/>
        <v>10108448.957122872</v>
      </c>
      <c r="N130" s="21">
        <f>INDEX('CHIRP Payment Calc'!AM:AM,MATCH(F:F,'CHIRP Payment Calc'!C:C,0))</f>
        <v>0.48</v>
      </c>
      <c r="O130" s="141">
        <f>INDEX('CHIRP Payment Calc'!AL:AL,MATCH(F:F,'CHIRP Payment Calc'!C:C,0))</f>
        <v>1.57</v>
      </c>
      <c r="P130" s="138">
        <f t="shared" si="11"/>
        <v>21891248.080685779</v>
      </c>
      <c r="Q130" s="139">
        <f t="shared" si="12"/>
        <v>1348688.6279080198</v>
      </c>
      <c r="R130" s="139">
        <f t="shared" si="13"/>
        <v>5765549.4823326906</v>
      </c>
      <c r="S130" s="139">
        <f t="shared" si="14"/>
        <v>624417.90521734848</v>
      </c>
      <c r="T130" s="139">
        <f t="shared" si="15"/>
        <v>12517480.360710489</v>
      </c>
      <c r="U130" s="139">
        <f t="shared" si="16"/>
        <v>4332488.9603332682</v>
      </c>
      <c r="V130" s="140">
        <f t="shared" si="17"/>
        <v>23239936.708593797</v>
      </c>
    </row>
    <row r="131" spans="4:22">
      <c r="D131" s="9" t="s">
        <v>300</v>
      </c>
      <c r="E131" s="9" t="s">
        <v>2279</v>
      </c>
      <c r="F131" s="4" t="s">
        <v>241</v>
      </c>
      <c r="G131" s="9" t="s">
        <v>2797</v>
      </c>
      <c r="H131" s="138">
        <v>3300792.6564955632</v>
      </c>
      <c r="I131" s="139">
        <v>2103370.6911311108</v>
      </c>
      <c r="J131" s="139">
        <v>1121363.8805466723</v>
      </c>
      <c r="K131" s="139">
        <v>2057172.5677635751</v>
      </c>
      <c r="L131" s="139">
        <f t="shared" si="9"/>
        <v>4422156.537042236</v>
      </c>
      <c r="M131" s="140">
        <f t="shared" si="10"/>
        <v>4160543.2588946857</v>
      </c>
      <c r="N131" s="21">
        <f>INDEX('CHIRP Payment Calc'!AM:AM,MATCH(F:F,'CHIRP Payment Calc'!C:C,0))</f>
        <v>0.53</v>
      </c>
      <c r="O131" s="141">
        <f>INDEX('CHIRP Payment Calc'!AL:AL,MATCH(F:F,'CHIRP Payment Calc'!C:C,0))</f>
        <v>1.57</v>
      </c>
      <c r="P131" s="138">
        <f t="shared" si="11"/>
        <v>8875795.8810970411</v>
      </c>
      <c r="Q131" s="139">
        <f t="shared" si="12"/>
        <v>552285.09153280826</v>
      </c>
      <c r="R131" s="139">
        <f t="shared" si="13"/>
        <v>1856148.6556420675</v>
      </c>
      <c r="S131" s="139">
        <f t="shared" si="14"/>
        <v>632258.35818057065</v>
      </c>
      <c r="T131" s="139">
        <f t="shared" si="15"/>
        <v>3503758.0743510281</v>
      </c>
      <c r="U131" s="139">
        <f t="shared" si="16"/>
        <v>3435915.8844561842</v>
      </c>
      <c r="V131" s="140">
        <f t="shared" si="17"/>
        <v>9428080.9726298507</v>
      </c>
    </row>
    <row r="132" spans="4:22">
      <c r="D132" s="9" t="s">
        <v>300</v>
      </c>
      <c r="E132" s="9" t="s">
        <v>2279</v>
      </c>
      <c r="F132" s="4" t="s">
        <v>1316</v>
      </c>
      <c r="G132" s="9" t="s">
        <v>2981</v>
      </c>
      <c r="H132" s="138">
        <v>2460568.603119242</v>
      </c>
      <c r="I132" s="139">
        <v>3584368.9472417538</v>
      </c>
      <c r="J132" s="139">
        <v>965048.50859688851</v>
      </c>
      <c r="K132" s="139">
        <v>1749033.7083792733</v>
      </c>
      <c r="L132" s="139">
        <f t="shared" si="9"/>
        <v>3425617.1117161307</v>
      </c>
      <c r="M132" s="140">
        <f t="shared" si="10"/>
        <v>5333402.6556210276</v>
      </c>
      <c r="N132" s="21">
        <f>INDEX('CHIRP Payment Calc'!AM:AM,MATCH(F:F,'CHIRP Payment Calc'!C:C,0))</f>
        <v>0.76</v>
      </c>
      <c r="O132" s="141">
        <f>INDEX('CHIRP Payment Calc'!AL:AL,MATCH(F:F,'CHIRP Payment Calc'!C:C,0))</f>
        <v>1.57</v>
      </c>
      <c r="P132" s="138">
        <f t="shared" si="11"/>
        <v>10976911.174229274</v>
      </c>
      <c r="Q132" s="139">
        <f t="shared" si="12"/>
        <v>679497.26106305653</v>
      </c>
      <c r="R132" s="139">
        <f t="shared" si="13"/>
        <v>1984118.9797035796</v>
      </c>
      <c r="S132" s="139">
        <f t="shared" si="14"/>
        <v>780251.98567408009</v>
      </c>
      <c r="T132" s="139">
        <f t="shared" si="15"/>
        <v>5970779.0420897119</v>
      </c>
      <c r="U132" s="139">
        <f t="shared" si="16"/>
        <v>2921258.4278249568</v>
      </c>
      <c r="V132" s="140">
        <f t="shared" si="17"/>
        <v>11656408.435292328</v>
      </c>
    </row>
    <row r="133" spans="4:22">
      <c r="D133" s="9" t="s">
        <v>300</v>
      </c>
      <c r="E133" s="9" t="s">
        <v>2279</v>
      </c>
      <c r="F133" s="4" t="s">
        <v>184</v>
      </c>
      <c r="G133" s="9" t="s">
        <v>2822</v>
      </c>
      <c r="H133" s="138">
        <v>4366760.9512650827</v>
      </c>
      <c r="I133" s="139">
        <v>1672072.8726460664</v>
      </c>
      <c r="J133" s="139">
        <v>342861.74095865758</v>
      </c>
      <c r="K133" s="139">
        <v>546431.6551979084</v>
      </c>
      <c r="L133" s="139">
        <f t="shared" ref="L133:L196" si="18">H133+J133</f>
        <v>4709622.6922237407</v>
      </c>
      <c r="M133" s="140">
        <f t="shared" ref="M133:M196" si="19">I133+K133</f>
        <v>2218504.5278439745</v>
      </c>
      <c r="N133" s="21">
        <f>INDEX('CHIRP Payment Calc'!AM:AM,MATCH(F:F,'CHIRP Payment Calc'!C:C,0))</f>
        <v>0.39</v>
      </c>
      <c r="O133" s="141">
        <f>INDEX('CHIRP Payment Calc'!AL:AL,MATCH(F:F,'CHIRP Payment Calc'!C:C,0))</f>
        <v>1.57</v>
      </c>
      <c r="P133" s="138">
        <f t="shared" ref="P133:P196" si="20">(L133*N133)+(M133*O133)</f>
        <v>5319804.9586822987</v>
      </c>
      <c r="Q133" s="139">
        <f t="shared" ref="Q133:Q196" si="21">(R133+T133)*$B$10+(S133+U133)*$B$11</f>
        <v>327348.6003283083</v>
      </c>
      <c r="R133" s="139">
        <f t="shared" ref="R133:R196" si="22">H133/(1-$B$10)*N133</f>
        <v>1806935.5660407241</v>
      </c>
      <c r="S133" s="139">
        <f t="shared" ref="S133:S196" si="23">J133/(1-$B$11)*N133</f>
        <v>142251.14784454941</v>
      </c>
      <c r="T133" s="139">
        <f t="shared" ref="T133:T196" si="24">I133/(1-$B$10)*O133</f>
        <v>2785309.7188905301</v>
      </c>
      <c r="U133" s="139">
        <f t="shared" ref="U133:U196" si="25">K133/(1-$B$11)*O133</f>
        <v>912657.12623480451</v>
      </c>
      <c r="V133" s="140">
        <f t="shared" ref="V133:V196" si="26">SUM(R133:U133)</f>
        <v>5647153.5590106081</v>
      </c>
    </row>
    <row r="134" spans="4:22">
      <c r="D134" s="9" t="s">
        <v>300</v>
      </c>
      <c r="E134" s="9" t="s">
        <v>2279</v>
      </c>
      <c r="F134" s="4" t="s">
        <v>564</v>
      </c>
      <c r="G134" s="9" t="s">
        <v>2625</v>
      </c>
      <c r="H134" s="138">
        <v>9123446.9323868044</v>
      </c>
      <c r="I134" s="139">
        <v>7404524.1564512802</v>
      </c>
      <c r="J134" s="139">
        <v>1601574.851892045</v>
      </c>
      <c r="K134" s="139">
        <v>3898008.5048453794</v>
      </c>
      <c r="L134" s="139">
        <f t="shared" si="18"/>
        <v>10725021.784278849</v>
      </c>
      <c r="M134" s="140">
        <f t="shared" si="19"/>
        <v>11302532.66129666</v>
      </c>
      <c r="N134" s="21">
        <f>INDEX('CHIRP Payment Calc'!AM:AM,MATCH(F:F,'CHIRP Payment Calc'!C:C,0))</f>
        <v>0.3</v>
      </c>
      <c r="O134" s="141">
        <f>INDEX('CHIRP Payment Calc'!AL:AL,MATCH(F:F,'CHIRP Payment Calc'!C:C,0))</f>
        <v>1.57</v>
      </c>
      <c r="P134" s="138">
        <f t="shared" si="20"/>
        <v>20962482.813519411</v>
      </c>
      <c r="Q134" s="139">
        <f t="shared" si="21"/>
        <v>1297503.3134953002</v>
      </c>
      <c r="R134" s="139">
        <f t="shared" si="22"/>
        <v>2904014.9386907597</v>
      </c>
      <c r="S134" s="139">
        <f t="shared" si="23"/>
        <v>511140.91017831222</v>
      </c>
      <c r="T134" s="139">
        <f t="shared" si="24"/>
        <v>12334326.711542185</v>
      </c>
      <c r="U134" s="139">
        <f t="shared" si="25"/>
        <v>6510503.5666034538</v>
      </c>
      <c r="V134" s="140">
        <f t="shared" si="26"/>
        <v>22259986.127014711</v>
      </c>
    </row>
    <row r="135" spans="4:22">
      <c r="D135" s="9" t="s">
        <v>300</v>
      </c>
      <c r="E135" s="9" t="s">
        <v>2279</v>
      </c>
      <c r="F135" s="4" t="s">
        <v>648</v>
      </c>
      <c r="G135" s="9" t="s">
        <v>2982</v>
      </c>
      <c r="H135" s="138">
        <v>2208347.1662375457</v>
      </c>
      <c r="I135" s="139">
        <v>693513.40065488301</v>
      </c>
      <c r="J135" s="139">
        <v>530975.78205669741</v>
      </c>
      <c r="K135" s="139">
        <v>265637.439955468</v>
      </c>
      <c r="L135" s="139">
        <f t="shared" si="18"/>
        <v>2739322.9482942428</v>
      </c>
      <c r="M135" s="140">
        <f t="shared" si="19"/>
        <v>959150.84061035095</v>
      </c>
      <c r="N135" s="21">
        <f>INDEX('CHIRP Payment Calc'!AM:AM,MATCH(F:F,'CHIRP Payment Calc'!C:C,0))</f>
        <v>0.3</v>
      </c>
      <c r="O135" s="141">
        <f>INDEX('CHIRP Payment Calc'!AL:AL,MATCH(F:F,'CHIRP Payment Calc'!C:C,0))</f>
        <v>1.57</v>
      </c>
      <c r="P135" s="138">
        <f t="shared" si="20"/>
        <v>2327663.7042465238</v>
      </c>
      <c r="Q135" s="139">
        <f t="shared" si="21"/>
        <v>143632.35171611531</v>
      </c>
      <c r="R135" s="139">
        <f t="shared" si="22"/>
        <v>702922.17492972268</v>
      </c>
      <c r="S135" s="139">
        <f t="shared" si="23"/>
        <v>169460.35597554172</v>
      </c>
      <c r="T135" s="139">
        <f t="shared" si="24"/>
        <v>1155242.4817274974</v>
      </c>
      <c r="U135" s="139">
        <f t="shared" si="25"/>
        <v>443671.04332987749</v>
      </c>
      <c r="V135" s="140">
        <f t="shared" si="26"/>
        <v>2471296.0559626394</v>
      </c>
    </row>
    <row r="136" spans="4:22">
      <c r="D136" s="9" t="s">
        <v>300</v>
      </c>
      <c r="E136" s="9" t="s">
        <v>2279</v>
      </c>
      <c r="F136" s="4" t="s">
        <v>836</v>
      </c>
      <c r="G136" s="9" t="s">
        <v>2599</v>
      </c>
      <c r="H136" s="138">
        <v>37992346.021635264</v>
      </c>
      <c r="I136" s="139">
        <v>120852578.56171302</v>
      </c>
      <c r="J136" s="139">
        <v>9480737.9872518219</v>
      </c>
      <c r="K136" s="139">
        <v>24415643.169196695</v>
      </c>
      <c r="L136" s="139">
        <f t="shared" si="18"/>
        <v>47473084.008887082</v>
      </c>
      <c r="M136" s="140">
        <f t="shared" si="19"/>
        <v>145268221.73090971</v>
      </c>
      <c r="N136" s="21">
        <f>INDEX('CHIRP Payment Calc'!AM:AM,MATCH(F:F,'CHIRP Payment Calc'!C:C,0))</f>
        <v>0.55000000000000004</v>
      </c>
      <c r="O136" s="141">
        <f>INDEX('CHIRP Payment Calc'!AL:AL,MATCH(F:F,'CHIRP Payment Calc'!C:C,0))</f>
        <v>1.57</v>
      </c>
      <c r="P136" s="138">
        <f t="shared" si="20"/>
        <v>254181304.32241616</v>
      </c>
      <c r="Q136" s="139">
        <f t="shared" si="21"/>
        <v>15629964.346518612</v>
      </c>
      <c r="R136" s="139">
        <f t="shared" si="22"/>
        <v>22170599.800423764</v>
      </c>
      <c r="S136" s="139">
        <f t="shared" si="23"/>
        <v>5547240.3116898974</v>
      </c>
      <c r="T136" s="139">
        <f t="shared" si="24"/>
        <v>201314109.64656708</v>
      </c>
      <c r="U136" s="139">
        <f t="shared" si="25"/>
        <v>40779318.910254054</v>
      </c>
      <c r="V136" s="140">
        <f t="shared" si="26"/>
        <v>269811268.66893476</v>
      </c>
    </row>
    <row r="137" spans="4:22">
      <c r="D137" s="9" t="s">
        <v>1514</v>
      </c>
      <c r="E137" s="9" t="s">
        <v>2529</v>
      </c>
      <c r="F137" s="4" t="s">
        <v>1331</v>
      </c>
      <c r="G137" s="9" t="s">
        <v>2383</v>
      </c>
      <c r="H137" s="138">
        <v>0</v>
      </c>
      <c r="I137" s="139">
        <v>2645779.3183898861</v>
      </c>
      <c r="J137" s="139">
        <v>0</v>
      </c>
      <c r="K137" s="139">
        <v>0</v>
      </c>
      <c r="L137" s="139">
        <f t="shared" si="18"/>
        <v>0</v>
      </c>
      <c r="M137" s="140">
        <f t="shared" si="19"/>
        <v>2645779.3183898861</v>
      </c>
      <c r="N137" s="21">
        <f>INDEX('CHIRP Payment Calc'!AM:AM,MATCH(F:F,'CHIRP Payment Calc'!C:C,0))</f>
        <v>0</v>
      </c>
      <c r="O137" s="141">
        <f>INDEX('CHIRP Payment Calc'!AL:AL,MATCH(F:F,'CHIRP Payment Calc'!C:C,0))</f>
        <v>0.12</v>
      </c>
      <c r="P137" s="138">
        <f t="shared" si="20"/>
        <v>317493.51820678631</v>
      </c>
      <c r="Q137" s="139">
        <f t="shared" si="21"/>
        <v>19369.63108423365</v>
      </c>
      <c r="R137" s="139">
        <f t="shared" si="22"/>
        <v>0</v>
      </c>
      <c r="S137" s="139">
        <f t="shared" si="23"/>
        <v>0</v>
      </c>
      <c r="T137" s="139">
        <f t="shared" si="24"/>
        <v>336863.14929102</v>
      </c>
      <c r="U137" s="139">
        <f t="shared" si="25"/>
        <v>0</v>
      </c>
      <c r="V137" s="140">
        <f t="shared" si="26"/>
        <v>336863.14929102</v>
      </c>
    </row>
    <row r="138" spans="4:22">
      <c r="D138" s="9" t="s">
        <v>1514</v>
      </c>
      <c r="E138" s="9" t="s">
        <v>2291</v>
      </c>
      <c r="F138" s="4" t="s">
        <v>1054</v>
      </c>
      <c r="G138" s="9" t="s">
        <v>2894</v>
      </c>
      <c r="H138" s="138">
        <v>2423652.288994344</v>
      </c>
      <c r="I138" s="139">
        <v>1169872.4530687868</v>
      </c>
      <c r="J138" s="139">
        <v>630046.24112072319</v>
      </c>
      <c r="K138" s="139">
        <v>330886.16544762359</v>
      </c>
      <c r="L138" s="139">
        <f t="shared" si="18"/>
        <v>3053698.530115067</v>
      </c>
      <c r="M138" s="140">
        <f t="shared" si="19"/>
        <v>1500758.6185164102</v>
      </c>
      <c r="N138" s="21">
        <f>INDEX('CHIRP Payment Calc'!AM:AM,MATCH(F:F,'CHIRP Payment Calc'!C:C,0))</f>
        <v>0.05</v>
      </c>
      <c r="O138" s="141">
        <f>INDEX('CHIRP Payment Calc'!AL:AL,MATCH(F:F,'CHIRP Payment Calc'!C:C,0))</f>
        <v>0.03</v>
      </c>
      <c r="P138" s="138">
        <f t="shared" si="20"/>
        <v>197707.68506124566</v>
      </c>
      <c r="Q138" s="139">
        <f t="shared" si="21"/>
        <v>12178.647350424957</v>
      </c>
      <c r="R138" s="139">
        <f t="shared" si="22"/>
        <v>128575.71824903681</v>
      </c>
      <c r="S138" s="139">
        <f t="shared" si="23"/>
        <v>33513.097931953365</v>
      </c>
      <c r="T138" s="139">
        <f t="shared" si="24"/>
        <v>37237.319461075444</v>
      </c>
      <c r="U138" s="139">
        <f t="shared" si="25"/>
        <v>10560.196769605009</v>
      </c>
      <c r="V138" s="140">
        <f t="shared" si="26"/>
        <v>209886.33241167065</v>
      </c>
    </row>
    <row r="139" spans="4:22">
      <c r="D139" s="9" t="s">
        <v>1514</v>
      </c>
      <c r="E139" s="9" t="s">
        <v>2291</v>
      </c>
      <c r="F139" s="4" t="s">
        <v>516</v>
      </c>
      <c r="G139" s="9" t="s">
        <v>2558</v>
      </c>
      <c r="H139" s="138">
        <v>3811021.2178199925</v>
      </c>
      <c r="I139" s="139">
        <v>8383785.2900640341</v>
      </c>
      <c r="J139" s="139">
        <v>543775.43316743907</v>
      </c>
      <c r="K139" s="139">
        <v>1639610.164384573</v>
      </c>
      <c r="L139" s="139">
        <f t="shared" si="18"/>
        <v>4354796.6509874314</v>
      </c>
      <c r="M139" s="140">
        <f t="shared" si="19"/>
        <v>10023395.454448607</v>
      </c>
      <c r="N139" s="21">
        <f>INDEX('CHIRP Payment Calc'!AM:AM,MATCH(F:F,'CHIRP Payment Calc'!C:C,0))</f>
        <v>0.66</v>
      </c>
      <c r="O139" s="141">
        <f>INDEX('CHIRP Payment Calc'!AL:AL,MATCH(F:F,'CHIRP Payment Calc'!C:C,0))</f>
        <v>0.2</v>
      </c>
      <c r="P139" s="138">
        <f t="shared" si="20"/>
        <v>4878844.8805414261</v>
      </c>
      <c r="Q139" s="139">
        <f t="shared" si="21"/>
        <v>299586.43302690069</v>
      </c>
      <c r="R139" s="139">
        <f t="shared" si="22"/>
        <v>2668725.7334336289</v>
      </c>
      <c r="S139" s="139">
        <f t="shared" si="23"/>
        <v>381799.77222394664</v>
      </c>
      <c r="T139" s="139">
        <f t="shared" si="24"/>
        <v>1779052.5814459489</v>
      </c>
      <c r="U139" s="139">
        <f t="shared" si="25"/>
        <v>348853.22646480281</v>
      </c>
      <c r="V139" s="140">
        <f t="shared" si="26"/>
        <v>5178431.3135683266</v>
      </c>
    </row>
    <row r="140" spans="4:22">
      <c r="D140" s="9" t="s">
        <v>1514</v>
      </c>
      <c r="E140" s="9" t="s">
        <v>2950</v>
      </c>
      <c r="F140" s="4" t="s">
        <v>2309</v>
      </c>
      <c r="G140" s="9" t="s">
        <v>2880</v>
      </c>
      <c r="H140" s="138">
        <v>0</v>
      </c>
      <c r="I140" s="139">
        <v>5273.7962239365661</v>
      </c>
      <c r="J140" s="139">
        <v>0</v>
      </c>
      <c r="K140" s="139">
        <v>0</v>
      </c>
      <c r="L140" s="139">
        <f t="shared" si="18"/>
        <v>0</v>
      </c>
      <c r="M140" s="140">
        <f t="shared" si="19"/>
        <v>5273.7962239365661</v>
      </c>
      <c r="N140" s="21">
        <f>INDEX('CHIRP Payment Calc'!AM:AM,MATCH(F:F,'CHIRP Payment Calc'!C:C,0))</f>
        <v>0</v>
      </c>
      <c r="O140" s="141">
        <f>INDEX('CHIRP Payment Calc'!AL:AL,MATCH(F:F,'CHIRP Payment Calc'!C:C,0))</f>
        <v>0.26</v>
      </c>
      <c r="P140" s="138">
        <f t="shared" si="20"/>
        <v>1371.1870182235073</v>
      </c>
      <c r="Q140" s="139">
        <f t="shared" si="21"/>
        <v>83.653319414166219</v>
      </c>
      <c r="R140" s="139">
        <f t="shared" si="22"/>
        <v>0</v>
      </c>
      <c r="S140" s="139">
        <f t="shared" si="23"/>
        <v>0</v>
      </c>
      <c r="T140" s="139">
        <f t="shared" si="24"/>
        <v>1454.8403376376734</v>
      </c>
      <c r="U140" s="139">
        <f t="shared" si="25"/>
        <v>0</v>
      </c>
      <c r="V140" s="140">
        <f t="shared" si="26"/>
        <v>1454.8403376376734</v>
      </c>
    </row>
    <row r="141" spans="4:22">
      <c r="D141" s="9" t="s">
        <v>1514</v>
      </c>
      <c r="E141" s="9" t="s">
        <v>2279</v>
      </c>
      <c r="F141" s="4" t="s">
        <v>645</v>
      </c>
      <c r="G141" s="9" t="s">
        <v>2649</v>
      </c>
      <c r="H141" s="138">
        <v>4715205.6435239473</v>
      </c>
      <c r="I141" s="139">
        <v>11762843.121723285</v>
      </c>
      <c r="J141" s="139">
        <v>712393.56410300068</v>
      </c>
      <c r="K141" s="139">
        <v>2124999.7245807429</v>
      </c>
      <c r="L141" s="139">
        <f t="shared" si="18"/>
        <v>5427599.2076269481</v>
      </c>
      <c r="M141" s="140">
        <f t="shared" si="19"/>
        <v>13887842.846304027</v>
      </c>
      <c r="N141" s="21">
        <f>INDEX('CHIRP Payment Calc'!AM:AM,MATCH(F:F,'CHIRP Payment Calc'!C:C,0))</f>
        <v>0.72</v>
      </c>
      <c r="O141" s="141">
        <f>INDEX('CHIRP Payment Calc'!AL:AL,MATCH(F:F,'CHIRP Payment Calc'!C:C,0))</f>
        <v>1.2</v>
      </c>
      <c r="P141" s="138">
        <f t="shared" si="20"/>
        <v>20573282.845056236</v>
      </c>
      <c r="Q141" s="139">
        <f t="shared" si="21"/>
        <v>1263777.0137868021</v>
      </c>
      <c r="R141" s="139">
        <f t="shared" si="22"/>
        <v>3602066.9107026439</v>
      </c>
      <c r="S141" s="139">
        <f t="shared" si="23"/>
        <v>545663.15548314946</v>
      </c>
      <c r="T141" s="139">
        <f t="shared" si="24"/>
        <v>14976564.186809488</v>
      </c>
      <c r="U141" s="139">
        <f t="shared" si="25"/>
        <v>2712765.6058477568</v>
      </c>
      <c r="V141" s="140">
        <f t="shared" si="26"/>
        <v>21837059.85884304</v>
      </c>
    </row>
    <row r="142" spans="4:22">
      <c r="D142" s="9" t="s">
        <v>1514</v>
      </c>
      <c r="E142" s="9" t="s">
        <v>2279</v>
      </c>
      <c r="F142" s="4" t="s">
        <v>1319</v>
      </c>
      <c r="G142" s="9" t="s">
        <v>2567</v>
      </c>
      <c r="H142" s="138">
        <v>20549934.20528511</v>
      </c>
      <c r="I142" s="139">
        <v>60406784.319966517</v>
      </c>
      <c r="J142" s="139">
        <v>5757693.8029053537</v>
      </c>
      <c r="K142" s="139">
        <v>7528026.2219214831</v>
      </c>
      <c r="L142" s="139">
        <f t="shared" si="18"/>
        <v>26307628.008190464</v>
      </c>
      <c r="M142" s="140">
        <f t="shared" si="19"/>
        <v>67934810.541887999</v>
      </c>
      <c r="N142" s="21">
        <f>INDEX('CHIRP Payment Calc'!AM:AM,MATCH(F:F,'CHIRP Payment Calc'!C:C,0))</f>
        <v>0.48</v>
      </c>
      <c r="O142" s="141">
        <f>INDEX('CHIRP Payment Calc'!AL:AL,MATCH(F:F,'CHIRP Payment Calc'!C:C,0))</f>
        <v>0.79</v>
      </c>
      <c r="P142" s="138">
        <f t="shared" si="20"/>
        <v>66296161.772022948</v>
      </c>
      <c r="Q142" s="139">
        <f t="shared" si="21"/>
        <v>4069173.9128953349</v>
      </c>
      <c r="R142" s="139">
        <f t="shared" si="22"/>
        <v>10465748.98518499</v>
      </c>
      <c r="S142" s="139">
        <f t="shared" si="23"/>
        <v>2940098.9631857122</v>
      </c>
      <c r="T142" s="139">
        <f t="shared" si="24"/>
        <v>50632742.294719949</v>
      </c>
      <c r="U142" s="139">
        <f t="shared" si="25"/>
        <v>6326745.4418276297</v>
      </c>
      <c r="V142" s="140">
        <f t="shared" si="26"/>
        <v>70365335.684918284</v>
      </c>
    </row>
    <row r="143" spans="4:22">
      <c r="D143" s="9" t="s">
        <v>1514</v>
      </c>
      <c r="E143" s="9" t="s">
        <v>2279</v>
      </c>
      <c r="F143" s="4" t="s">
        <v>1370</v>
      </c>
      <c r="G143" s="9" t="s">
        <v>2656</v>
      </c>
      <c r="H143" s="138">
        <v>7376552.9329384714</v>
      </c>
      <c r="I143" s="139">
        <v>16993733.508245613</v>
      </c>
      <c r="J143" s="139">
        <v>1712850.4552666079</v>
      </c>
      <c r="K143" s="139">
        <v>5879018.8998213736</v>
      </c>
      <c r="L143" s="139">
        <f t="shared" si="18"/>
        <v>9089403.3882050794</v>
      </c>
      <c r="M143" s="140">
        <f t="shared" si="19"/>
        <v>22872752.408066988</v>
      </c>
      <c r="N143" s="21">
        <f>INDEX('CHIRP Payment Calc'!AM:AM,MATCH(F:F,'CHIRP Payment Calc'!C:C,0))</f>
        <v>1.08</v>
      </c>
      <c r="O143" s="141">
        <f>INDEX('CHIRP Payment Calc'!AL:AL,MATCH(F:F,'CHIRP Payment Calc'!C:C,0))</f>
        <v>1.4100000000000001</v>
      </c>
      <c r="P143" s="138">
        <f t="shared" si="20"/>
        <v>42067136.554635942</v>
      </c>
      <c r="Q143" s="139">
        <f t="shared" si="21"/>
        <v>2595041.4454869493</v>
      </c>
      <c r="R143" s="139">
        <f t="shared" si="22"/>
        <v>8452707.8701045625</v>
      </c>
      <c r="S143" s="139">
        <f t="shared" si="23"/>
        <v>1967955.8422212093</v>
      </c>
      <c r="T143" s="139">
        <f t="shared" si="24"/>
        <v>25422985.938065059</v>
      </c>
      <c r="U143" s="139">
        <f t="shared" si="25"/>
        <v>8818528.3497320618</v>
      </c>
      <c r="V143" s="140">
        <f t="shared" si="26"/>
        <v>44662178.000122897</v>
      </c>
    </row>
    <row r="144" spans="4:22">
      <c r="D144" s="9" t="s">
        <v>1514</v>
      </c>
      <c r="E144" s="9" t="s">
        <v>2279</v>
      </c>
      <c r="F144" s="4" t="s">
        <v>1159</v>
      </c>
      <c r="G144" s="9" t="s">
        <v>2657</v>
      </c>
      <c r="H144" s="138">
        <v>6035449.7039283495</v>
      </c>
      <c r="I144" s="139">
        <v>10734144.176133217</v>
      </c>
      <c r="J144" s="139">
        <v>1499215.4332619528</v>
      </c>
      <c r="K144" s="139">
        <v>2970363.0939121577</v>
      </c>
      <c r="L144" s="139">
        <f t="shared" si="18"/>
        <v>7534665.1371903028</v>
      </c>
      <c r="M144" s="140">
        <f t="shared" si="19"/>
        <v>13704507.270045375</v>
      </c>
      <c r="N144" s="21">
        <f>INDEX('CHIRP Payment Calc'!AM:AM,MATCH(F:F,'CHIRP Payment Calc'!C:C,0))</f>
        <v>0.85</v>
      </c>
      <c r="O144" s="141">
        <f>INDEX('CHIRP Payment Calc'!AL:AL,MATCH(F:F,'CHIRP Payment Calc'!C:C,0))</f>
        <v>1.31</v>
      </c>
      <c r="P144" s="138">
        <f t="shared" si="20"/>
        <v>24357369.8903712</v>
      </c>
      <c r="Q144" s="139">
        <f t="shared" si="21"/>
        <v>1500569.5744712539</v>
      </c>
      <c r="R144" s="139">
        <f t="shared" si="22"/>
        <v>5443111.1388213234</v>
      </c>
      <c r="S144" s="139">
        <f t="shared" si="23"/>
        <v>1355673.5300772979</v>
      </c>
      <c r="T144" s="139">
        <f t="shared" si="24"/>
        <v>14919606.228896037</v>
      </c>
      <c r="U144" s="139">
        <f t="shared" si="25"/>
        <v>4139548.5670477948</v>
      </c>
      <c r="V144" s="140">
        <f t="shared" si="26"/>
        <v>25857939.46484245</v>
      </c>
    </row>
    <row r="145" spans="4:22">
      <c r="D145" s="9" t="s">
        <v>1514</v>
      </c>
      <c r="E145" s="9" t="s">
        <v>2279</v>
      </c>
      <c r="F145" s="4" t="s">
        <v>591</v>
      </c>
      <c r="G145" s="9" t="s">
        <v>2546</v>
      </c>
      <c r="H145" s="138">
        <v>8345061.4494467173</v>
      </c>
      <c r="I145" s="139">
        <v>6328303.6404776145</v>
      </c>
      <c r="J145" s="139">
        <v>704088.22489050275</v>
      </c>
      <c r="K145" s="139">
        <v>1209039.4049668051</v>
      </c>
      <c r="L145" s="139">
        <f t="shared" si="18"/>
        <v>9049149.6743372194</v>
      </c>
      <c r="M145" s="140">
        <f t="shared" si="19"/>
        <v>7537343.0454444196</v>
      </c>
      <c r="N145" s="21">
        <f>INDEX('CHIRP Payment Calc'!AM:AM,MATCH(F:F,'CHIRP Payment Calc'!C:C,0))</f>
        <v>0.48</v>
      </c>
      <c r="O145" s="141">
        <f>INDEX('CHIRP Payment Calc'!AL:AL,MATCH(F:F,'CHIRP Payment Calc'!C:C,0))</f>
        <v>1.28</v>
      </c>
      <c r="P145" s="138">
        <f t="shared" si="20"/>
        <v>13991390.941850722</v>
      </c>
      <c r="Q145" s="139">
        <f t="shared" si="21"/>
        <v>858906.83714971936</v>
      </c>
      <c r="R145" s="139">
        <f t="shared" si="22"/>
        <v>4250004.7700099992</v>
      </c>
      <c r="S145" s="139">
        <f t="shared" si="23"/>
        <v>359534.41271004395</v>
      </c>
      <c r="T145" s="139">
        <f t="shared" si="24"/>
        <v>8594407.066112835</v>
      </c>
      <c r="U145" s="139">
        <f t="shared" si="25"/>
        <v>1646351.5301675645</v>
      </c>
      <c r="V145" s="140">
        <f t="shared" si="26"/>
        <v>14850297.779000442</v>
      </c>
    </row>
    <row r="146" spans="4:22">
      <c r="D146" s="9" t="s">
        <v>1514</v>
      </c>
      <c r="E146" s="9" t="s">
        <v>2279</v>
      </c>
      <c r="F146" s="4" t="s">
        <v>663</v>
      </c>
      <c r="G146" s="9" t="s">
        <v>2563</v>
      </c>
      <c r="H146" s="138">
        <v>557585.61281506531</v>
      </c>
      <c r="I146" s="139">
        <v>157233.46748965638</v>
      </c>
      <c r="J146" s="139">
        <v>113864.68868172106</v>
      </c>
      <c r="K146" s="139">
        <v>110948.91266255513</v>
      </c>
      <c r="L146" s="139">
        <f t="shared" si="18"/>
        <v>671450.30149678641</v>
      </c>
      <c r="M146" s="140">
        <f t="shared" si="19"/>
        <v>268182.38015221152</v>
      </c>
      <c r="N146" s="21">
        <f>INDEX('CHIRP Payment Calc'!AM:AM,MATCH(F:F,'CHIRP Payment Calc'!C:C,0))</f>
        <v>0.71</v>
      </c>
      <c r="O146" s="141">
        <f>INDEX('CHIRP Payment Calc'!AL:AL,MATCH(F:F,'CHIRP Payment Calc'!C:C,0))</f>
        <v>0.66</v>
      </c>
      <c r="P146" s="138">
        <f t="shared" si="20"/>
        <v>653730.08496317791</v>
      </c>
      <c r="Q146" s="139">
        <f t="shared" si="21"/>
        <v>40317.497173162177</v>
      </c>
      <c r="R146" s="139">
        <f t="shared" si="22"/>
        <v>420037.96827447886</v>
      </c>
      <c r="S146" s="139">
        <f t="shared" si="23"/>
        <v>86004.179748959519</v>
      </c>
      <c r="T146" s="139">
        <f t="shared" si="24"/>
        <v>110105.13373280979</v>
      </c>
      <c r="U146" s="139">
        <f t="shared" si="25"/>
        <v>77900.30038009191</v>
      </c>
      <c r="V146" s="140">
        <f t="shared" si="26"/>
        <v>694047.58213634009</v>
      </c>
    </row>
    <row r="147" spans="4:22">
      <c r="D147" s="9" t="s">
        <v>1514</v>
      </c>
      <c r="E147" s="9" t="s">
        <v>2279</v>
      </c>
      <c r="F147" s="4" t="s">
        <v>793</v>
      </c>
      <c r="G147" s="9" t="s">
        <v>2559</v>
      </c>
      <c r="H147" s="138">
        <v>9418940.2423183937</v>
      </c>
      <c r="I147" s="139">
        <v>9221645.3078674786</v>
      </c>
      <c r="J147" s="139">
        <v>1424626.3656118875</v>
      </c>
      <c r="K147" s="139">
        <v>1560705.6646084783</v>
      </c>
      <c r="L147" s="139">
        <f t="shared" si="18"/>
        <v>10843566.60793028</v>
      </c>
      <c r="M147" s="140">
        <f t="shared" si="19"/>
        <v>10782350.972475957</v>
      </c>
      <c r="N147" s="21">
        <f>INDEX('CHIRP Payment Calc'!AM:AM,MATCH(F:F,'CHIRP Payment Calc'!C:C,0))</f>
        <v>0.65</v>
      </c>
      <c r="O147" s="141">
        <f>INDEX('CHIRP Payment Calc'!AL:AL,MATCH(F:F,'CHIRP Payment Calc'!C:C,0))</f>
        <v>0.78</v>
      </c>
      <c r="P147" s="138">
        <f t="shared" si="20"/>
        <v>15458552.05368593</v>
      </c>
      <c r="Q147" s="139">
        <f t="shared" si="21"/>
        <v>949142.87757980754</v>
      </c>
      <c r="R147" s="139">
        <f t="shared" si="22"/>
        <v>6495820.8567713061</v>
      </c>
      <c r="S147" s="139">
        <f t="shared" si="23"/>
        <v>985113.97622098611</v>
      </c>
      <c r="T147" s="139">
        <f t="shared" si="24"/>
        <v>7631706.4616834307</v>
      </c>
      <c r="U147" s="139">
        <f t="shared" si="25"/>
        <v>1295053.636590014</v>
      </c>
      <c r="V147" s="140">
        <f t="shared" si="26"/>
        <v>16407694.931265736</v>
      </c>
    </row>
    <row r="148" spans="4:22">
      <c r="D148" s="9" t="s">
        <v>1514</v>
      </c>
      <c r="E148" s="9" t="s">
        <v>2279</v>
      </c>
      <c r="F148" s="4" t="s">
        <v>790</v>
      </c>
      <c r="G148" s="9" t="s">
        <v>2437</v>
      </c>
      <c r="H148" s="138">
        <v>7752299.8738372186</v>
      </c>
      <c r="I148" s="139">
        <v>11878930.988439433</v>
      </c>
      <c r="J148" s="139">
        <v>4383324.5996510861</v>
      </c>
      <c r="K148" s="139">
        <v>3220483.7478924571</v>
      </c>
      <c r="L148" s="139">
        <f t="shared" si="18"/>
        <v>12135624.473488305</v>
      </c>
      <c r="M148" s="140">
        <f t="shared" si="19"/>
        <v>15099414.736331891</v>
      </c>
      <c r="N148" s="21">
        <f>INDEX('CHIRP Payment Calc'!AM:AM,MATCH(F:F,'CHIRP Payment Calc'!C:C,0))</f>
        <v>0.98</v>
      </c>
      <c r="O148" s="141">
        <f>INDEX('CHIRP Payment Calc'!AL:AL,MATCH(F:F,'CHIRP Payment Calc'!C:C,0))</f>
        <v>1.6800000000000002</v>
      </c>
      <c r="P148" s="138">
        <f t="shared" si="20"/>
        <v>37259928.741056114</v>
      </c>
      <c r="Q148" s="139">
        <f t="shared" si="21"/>
        <v>2300541.0299276221</v>
      </c>
      <c r="R148" s="139">
        <f t="shared" si="22"/>
        <v>8060746.8184196008</v>
      </c>
      <c r="S148" s="139">
        <f t="shared" si="23"/>
        <v>4569849.0507000685</v>
      </c>
      <c r="T148" s="139">
        <f t="shared" si="24"/>
        <v>21174115.71414138</v>
      </c>
      <c r="U148" s="139">
        <f t="shared" si="25"/>
        <v>5755758.1877226904</v>
      </c>
      <c r="V148" s="140">
        <f t="shared" si="26"/>
        <v>39560469.770983741</v>
      </c>
    </row>
    <row r="149" spans="4:22">
      <c r="D149" s="9" t="s">
        <v>1514</v>
      </c>
      <c r="E149" s="9" t="s">
        <v>2279</v>
      </c>
      <c r="F149" s="4" t="s">
        <v>642</v>
      </c>
      <c r="G149" s="9" t="s">
        <v>2677</v>
      </c>
      <c r="H149" s="138">
        <v>9132558.5220807698</v>
      </c>
      <c r="I149" s="139">
        <v>16502196.292923976</v>
      </c>
      <c r="J149" s="139">
        <v>1054953.6497013432</v>
      </c>
      <c r="K149" s="139">
        <v>3770167.4749714397</v>
      </c>
      <c r="L149" s="139">
        <f t="shared" si="18"/>
        <v>10187512.171782114</v>
      </c>
      <c r="M149" s="140">
        <f t="shared" si="19"/>
        <v>20272363.767895415</v>
      </c>
      <c r="N149" s="21">
        <f>INDEX('CHIRP Payment Calc'!AM:AM,MATCH(F:F,'CHIRP Payment Calc'!C:C,0))</f>
        <v>0.53</v>
      </c>
      <c r="O149" s="141">
        <f>INDEX('CHIRP Payment Calc'!AL:AL,MATCH(F:F,'CHIRP Payment Calc'!C:C,0))</f>
        <v>1</v>
      </c>
      <c r="P149" s="138">
        <f t="shared" si="20"/>
        <v>25671745.218939938</v>
      </c>
      <c r="Q149" s="139">
        <f t="shared" si="21"/>
        <v>1578397.270000549</v>
      </c>
      <c r="R149" s="139">
        <f t="shared" si="22"/>
        <v>5135550.1503478074</v>
      </c>
      <c r="S149" s="139">
        <f t="shared" si="23"/>
        <v>594814.29185288504</v>
      </c>
      <c r="T149" s="139">
        <f t="shared" si="24"/>
        <v>17508961.58400422</v>
      </c>
      <c r="U149" s="139">
        <f t="shared" si="25"/>
        <v>4010816.4627355742</v>
      </c>
      <c r="V149" s="140">
        <f t="shared" si="26"/>
        <v>27250142.488940489</v>
      </c>
    </row>
    <row r="150" spans="4:22">
      <c r="D150" s="9" t="s">
        <v>1514</v>
      </c>
      <c r="E150" s="9" t="s">
        <v>2279</v>
      </c>
      <c r="F150" s="4" t="s">
        <v>1613</v>
      </c>
      <c r="G150" s="9" t="s">
        <v>2561</v>
      </c>
      <c r="H150" s="138">
        <v>21407172.60791013</v>
      </c>
      <c r="I150" s="139">
        <v>19898754.582175713</v>
      </c>
      <c r="J150" s="139">
        <v>2740249.1227562586</v>
      </c>
      <c r="K150" s="139">
        <v>5448861.6254341332</v>
      </c>
      <c r="L150" s="139">
        <f t="shared" si="18"/>
        <v>24147421.730666388</v>
      </c>
      <c r="M150" s="140">
        <f t="shared" si="19"/>
        <v>25347616.207609847</v>
      </c>
      <c r="N150" s="21">
        <f>INDEX('CHIRP Payment Calc'!AM:AM,MATCH(F:F,'CHIRP Payment Calc'!C:C,0))</f>
        <v>0.92999999999999994</v>
      </c>
      <c r="O150" s="141">
        <f>INDEX('CHIRP Payment Calc'!AL:AL,MATCH(F:F,'CHIRP Payment Calc'!C:C,0))</f>
        <v>1.48</v>
      </c>
      <c r="P150" s="138">
        <f t="shared" si="20"/>
        <v>59971574.196782321</v>
      </c>
      <c r="Q150" s="139">
        <f t="shared" si="21"/>
        <v>3688690.6174847325</v>
      </c>
      <c r="R150" s="139">
        <f t="shared" si="22"/>
        <v>21123257.85183705</v>
      </c>
      <c r="S150" s="139">
        <f t="shared" si="23"/>
        <v>2711097.5363439582</v>
      </c>
      <c r="T150" s="139">
        <f t="shared" si="24"/>
        <v>31246850.696679104</v>
      </c>
      <c r="U150" s="139">
        <f t="shared" si="25"/>
        <v>8579058.7294069324</v>
      </c>
      <c r="V150" s="140">
        <f t="shared" si="26"/>
        <v>63660264.814267047</v>
      </c>
    </row>
    <row r="151" spans="4:22">
      <c r="D151" s="9" t="s">
        <v>1514</v>
      </c>
      <c r="E151" s="9" t="s">
        <v>2279</v>
      </c>
      <c r="F151" s="4" t="s">
        <v>775</v>
      </c>
      <c r="G151" s="9" t="s">
        <v>2345</v>
      </c>
      <c r="H151" s="138">
        <v>4087535.8612521952</v>
      </c>
      <c r="I151" s="139">
        <v>7183112.7982593412</v>
      </c>
      <c r="J151" s="139">
        <v>389423.63163050206</v>
      </c>
      <c r="K151" s="139">
        <v>1398289.4549598976</v>
      </c>
      <c r="L151" s="139">
        <f t="shared" si="18"/>
        <v>4476959.4928826969</v>
      </c>
      <c r="M151" s="140">
        <f t="shared" si="19"/>
        <v>8581402.2532192394</v>
      </c>
      <c r="N151" s="21">
        <f>INDEX('CHIRP Payment Calc'!AM:AM,MATCH(F:F,'CHIRP Payment Calc'!C:C,0))</f>
        <v>1.1000000000000001</v>
      </c>
      <c r="O151" s="141">
        <f>INDEX('CHIRP Payment Calc'!AL:AL,MATCH(F:F,'CHIRP Payment Calc'!C:C,0))</f>
        <v>1.07</v>
      </c>
      <c r="P151" s="138">
        <f t="shared" si="20"/>
        <v>14106755.853115555</v>
      </c>
      <c r="Q151" s="139">
        <f t="shared" si="21"/>
        <v>866055.07437202695</v>
      </c>
      <c r="R151" s="139">
        <f t="shared" si="22"/>
        <v>4770598.883159061</v>
      </c>
      <c r="S151" s="139">
        <f t="shared" si="23"/>
        <v>455708.50509952375</v>
      </c>
      <c r="T151" s="139">
        <f t="shared" si="24"/>
        <v>8154833.6277320907</v>
      </c>
      <c r="U151" s="139">
        <f t="shared" si="25"/>
        <v>1591669.9114969049</v>
      </c>
      <c r="V151" s="140">
        <f t="shared" si="26"/>
        <v>14972810.92748758</v>
      </c>
    </row>
    <row r="152" spans="4:22">
      <c r="D152" s="9" t="s">
        <v>1514</v>
      </c>
      <c r="E152" s="9" t="s">
        <v>2279</v>
      </c>
      <c r="F152" s="4" t="s">
        <v>163</v>
      </c>
      <c r="G152" s="9" t="s">
        <v>2812</v>
      </c>
      <c r="H152" s="138">
        <v>2047971.6346645001</v>
      </c>
      <c r="I152" s="139">
        <v>3108240.3626810368</v>
      </c>
      <c r="J152" s="139">
        <v>287033.53728207992</v>
      </c>
      <c r="K152" s="139">
        <v>822455.9091057732</v>
      </c>
      <c r="L152" s="139">
        <f t="shared" si="18"/>
        <v>2335005.1719465801</v>
      </c>
      <c r="M152" s="140">
        <f t="shared" si="19"/>
        <v>3930696.2717868099</v>
      </c>
      <c r="N152" s="21">
        <f>INDEX('CHIRP Payment Calc'!AM:AM,MATCH(F:F,'CHIRP Payment Calc'!C:C,0))</f>
        <v>1.1499999999999999</v>
      </c>
      <c r="O152" s="141">
        <f>INDEX('CHIRP Payment Calc'!AL:AL,MATCH(F:F,'CHIRP Payment Calc'!C:C,0))</f>
        <v>0.65</v>
      </c>
      <c r="P152" s="138">
        <f t="shared" si="20"/>
        <v>5240208.5243999939</v>
      </c>
      <c r="Q152" s="139">
        <f t="shared" si="21"/>
        <v>322134.41279508156</v>
      </c>
      <c r="R152" s="139">
        <f t="shared" si="22"/>
        <v>2498851.3314208752</v>
      </c>
      <c r="S152" s="139">
        <f t="shared" si="23"/>
        <v>351158.0509302041</v>
      </c>
      <c r="T152" s="139">
        <f t="shared" si="24"/>
        <v>2143614.0432283012</v>
      </c>
      <c r="U152" s="139">
        <f t="shared" si="25"/>
        <v>568719.51161569427</v>
      </c>
      <c r="V152" s="140">
        <f t="shared" si="26"/>
        <v>5562342.9371950747</v>
      </c>
    </row>
    <row r="153" spans="4:22">
      <c r="D153" s="9" t="s">
        <v>1550</v>
      </c>
      <c r="E153" s="9" t="s">
        <v>2291</v>
      </c>
      <c r="F153" s="4" t="s">
        <v>799</v>
      </c>
      <c r="G153" s="9" t="s">
        <v>2792</v>
      </c>
      <c r="H153" s="138">
        <v>436229.12485976977</v>
      </c>
      <c r="I153" s="139">
        <v>3179.0459679823844</v>
      </c>
      <c r="J153" s="139">
        <v>199183.43991226272</v>
      </c>
      <c r="K153" s="139">
        <v>30323.912255893778</v>
      </c>
      <c r="L153" s="139">
        <f t="shared" si="18"/>
        <v>635412.56477203243</v>
      </c>
      <c r="M153" s="140">
        <f t="shared" si="19"/>
        <v>33502.958223876165</v>
      </c>
      <c r="N153" s="21">
        <f>INDEX('CHIRP Payment Calc'!AM:AM,MATCH(F:F,'CHIRP Payment Calc'!C:C,0))</f>
        <v>0.22</v>
      </c>
      <c r="O153" s="141">
        <f>INDEX('CHIRP Payment Calc'!AL:AL,MATCH(F:F,'CHIRP Payment Calc'!C:C,0))</f>
        <v>0</v>
      </c>
      <c r="P153" s="138">
        <f t="shared" si="20"/>
        <v>139790.76424984713</v>
      </c>
      <c r="Q153" s="139">
        <f t="shared" si="21"/>
        <v>8652.0025956949976</v>
      </c>
      <c r="R153" s="139">
        <f t="shared" si="22"/>
        <v>101825.36601501257</v>
      </c>
      <c r="S153" s="139">
        <f t="shared" si="23"/>
        <v>46617.400830529572</v>
      </c>
      <c r="T153" s="139">
        <f t="shared" si="24"/>
        <v>0</v>
      </c>
      <c r="U153" s="139">
        <f t="shared" si="25"/>
        <v>0</v>
      </c>
      <c r="V153" s="140">
        <f t="shared" si="26"/>
        <v>148442.76684554212</v>
      </c>
    </row>
    <row r="154" spans="4:22">
      <c r="D154" s="9" t="s">
        <v>1550</v>
      </c>
      <c r="E154" s="9" t="s">
        <v>2291</v>
      </c>
      <c r="F154" s="4" t="s">
        <v>528</v>
      </c>
      <c r="G154" s="9" t="s">
        <v>2943</v>
      </c>
      <c r="H154" s="138">
        <v>404311.15941172547</v>
      </c>
      <c r="I154" s="139">
        <v>31301.958155408884</v>
      </c>
      <c r="J154" s="139">
        <v>130115.95042619885</v>
      </c>
      <c r="K154" s="139">
        <v>49553.620859559291</v>
      </c>
      <c r="L154" s="139">
        <f t="shared" si="18"/>
        <v>534427.10983792436</v>
      </c>
      <c r="M154" s="140">
        <f t="shared" si="19"/>
        <v>80855.579014968171</v>
      </c>
      <c r="N154" s="21">
        <f>INDEX('CHIRP Payment Calc'!AM:AM,MATCH(F:F,'CHIRP Payment Calc'!C:C,0))</f>
        <v>0.22</v>
      </c>
      <c r="O154" s="141">
        <f>INDEX('CHIRP Payment Calc'!AL:AL,MATCH(F:F,'CHIRP Payment Calc'!C:C,0))</f>
        <v>0</v>
      </c>
      <c r="P154" s="138">
        <f t="shared" si="20"/>
        <v>117573.96416434336</v>
      </c>
      <c r="Q154" s="139">
        <f t="shared" si="21"/>
        <v>7253.7237268662657</v>
      </c>
      <c r="R154" s="139">
        <f t="shared" si="22"/>
        <v>94375.018642524781</v>
      </c>
      <c r="S154" s="139">
        <f t="shared" si="23"/>
        <v>30452.669248684841</v>
      </c>
      <c r="T154" s="139">
        <f t="shared" si="24"/>
        <v>0</v>
      </c>
      <c r="U154" s="139">
        <f t="shared" si="25"/>
        <v>0</v>
      </c>
      <c r="V154" s="140">
        <f t="shared" si="26"/>
        <v>124827.68789120961</v>
      </c>
    </row>
    <row r="155" spans="4:22">
      <c r="D155" s="9" t="s">
        <v>1550</v>
      </c>
      <c r="E155" s="9" t="s">
        <v>2291</v>
      </c>
      <c r="F155" s="4" t="s">
        <v>600</v>
      </c>
      <c r="G155" s="9" t="s">
        <v>2983</v>
      </c>
      <c r="H155" s="138">
        <v>1677833.1666876206</v>
      </c>
      <c r="I155" s="139">
        <v>216893.24834303616</v>
      </c>
      <c r="J155" s="139">
        <v>700768.98623396701</v>
      </c>
      <c r="K155" s="139">
        <v>484161.47097105137</v>
      </c>
      <c r="L155" s="139">
        <f t="shared" si="18"/>
        <v>2378602.1529215877</v>
      </c>
      <c r="M155" s="140">
        <f t="shared" si="19"/>
        <v>701054.71931408753</v>
      </c>
      <c r="N155" s="21">
        <f>INDEX('CHIRP Payment Calc'!AM:AM,MATCH(F:F,'CHIRP Payment Calc'!C:C,0))</f>
        <v>0.45</v>
      </c>
      <c r="O155" s="141">
        <f>INDEX('CHIRP Payment Calc'!AL:AL,MATCH(F:F,'CHIRP Payment Calc'!C:C,0))</f>
        <v>0</v>
      </c>
      <c r="P155" s="138">
        <f t="shared" si="20"/>
        <v>1070370.9688147146</v>
      </c>
      <c r="Q155" s="139">
        <f t="shared" si="21"/>
        <v>66190.999462665539</v>
      </c>
      <c r="R155" s="139">
        <f t="shared" si="22"/>
        <v>801087.45359090646</v>
      </c>
      <c r="S155" s="139">
        <f t="shared" si="23"/>
        <v>335474.51468647359</v>
      </c>
      <c r="T155" s="139">
        <f t="shared" si="24"/>
        <v>0</v>
      </c>
      <c r="U155" s="139">
        <f t="shared" si="25"/>
        <v>0</v>
      </c>
      <c r="V155" s="140">
        <f t="shared" si="26"/>
        <v>1136561.9682773801</v>
      </c>
    </row>
    <row r="156" spans="4:22">
      <c r="D156" s="9" t="s">
        <v>1550</v>
      </c>
      <c r="E156" s="9" t="s">
        <v>2291</v>
      </c>
      <c r="F156" s="4" t="s">
        <v>848</v>
      </c>
      <c r="G156" s="9" t="s">
        <v>2984</v>
      </c>
      <c r="H156" s="138">
        <v>2030881.1573860811</v>
      </c>
      <c r="I156" s="139">
        <v>4775115.2632309441</v>
      </c>
      <c r="J156" s="139">
        <v>615043.509493366</v>
      </c>
      <c r="K156" s="139">
        <v>1275435.4681867699</v>
      </c>
      <c r="L156" s="139">
        <f t="shared" si="18"/>
        <v>2645924.6668794472</v>
      </c>
      <c r="M156" s="140">
        <f t="shared" si="19"/>
        <v>6050550.7314177137</v>
      </c>
      <c r="N156" s="21">
        <f>INDEX('CHIRP Payment Calc'!AM:AM,MATCH(F:F,'CHIRP Payment Calc'!C:C,0))</f>
        <v>0.84</v>
      </c>
      <c r="O156" s="141">
        <f>INDEX('CHIRP Payment Calc'!AL:AL,MATCH(F:F,'CHIRP Payment Calc'!C:C,0))</f>
        <v>0</v>
      </c>
      <c r="P156" s="138">
        <f t="shared" si="20"/>
        <v>2222576.7201787354</v>
      </c>
      <c r="Q156" s="139">
        <f t="shared" si="21"/>
        <v>137052.72655973444</v>
      </c>
      <c r="R156" s="139">
        <f t="shared" si="22"/>
        <v>1810016.0978295046</v>
      </c>
      <c r="S156" s="139">
        <f t="shared" si="23"/>
        <v>549613.34890896536</v>
      </c>
      <c r="T156" s="139">
        <f t="shared" si="24"/>
        <v>0</v>
      </c>
      <c r="U156" s="139">
        <f t="shared" si="25"/>
        <v>0</v>
      </c>
      <c r="V156" s="140">
        <f t="shared" si="26"/>
        <v>2359629.4467384699</v>
      </c>
    </row>
    <row r="157" spans="4:22">
      <c r="D157" s="9" t="s">
        <v>1550</v>
      </c>
      <c r="E157" s="9" t="s">
        <v>2279</v>
      </c>
      <c r="F157" s="4" t="s">
        <v>504</v>
      </c>
      <c r="G157" s="9" t="s">
        <v>2412</v>
      </c>
      <c r="H157" s="138">
        <v>3254560.2477341937</v>
      </c>
      <c r="I157" s="139">
        <v>7161840.8157613017</v>
      </c>
      <c r="J157" s="139">
        <v>2257789.3601130988</v>
      </c>
      <c r="K157" s="139">
        <v>2787274.618581729</v>
      </c>
      <c r="L157" s="139">
        <f t="shared" si="18"/>
        <v>5512349.607847292</v>
      </c>
      <c r="M157" s="140">
        <f t="shared" si="19"/>
        <v>9949115.4343430307</v>
      </c>
      <c r="N157" s="21">
        <f>INDEX('CHIRP Payment Calc'!AM:AM,MATCH(F:F,'CHIRP Payment Calc'!C:C,0))</f>
        <v>1.17</v>
      </c>
      <c r="O157" s="141">
        <f>INDEX('CHIRP Payment Calc'!AL:AL,MATCH(F:F,'CHIRP Payment Calc'!C:C,0))</f>
        <v>3.1399999999999997</v>
      </c>
      <c r="P157" s="138">
        <f t="shared" si="20"/>
        <v>37689671.505018443</v>
      </c>
      <c r="Q157" s="139">
        <f t="shared" si="21"/>
        <v>2331520.8358038766</v>
      </c>
      <c r="R157" s="139">
        <f t="shared" si="22"/>
        <v>4040143.7558079646</v>
      </c>
      <c r="S157" s="139">
        <f t="shared" si="23"/>
        <v>2810227.1822684314</v>
      </c>
      <c r="T157" s="139">
        <f t="shared" si="24"/>
        <v>23860138.102377173</v>
      </c>
      <c r="U157" s="139">
        <f t="shared" si="25"/>
        <v>9310683.3003687542</v>
      </c>
      <c r="V157" s="140">
        <f t="shared" si="26"/>
        <v>40021192.340822324</v>
      </c>
    </row>
    <row r="158" spans="4:22">
      <c r="D158" s="9" t="s">
        <v>1550</v>
      </c>
      <c r="E158" s="9" t="s">
        <v>2279</v>
      </c>
      <c r="F158" s="4" t="s">
        <v>2285</v>
      </c>
      <c r="G158" s="9" t="s">
        <v>2944</v>
      </c>
      <c r="H158" s="138">
        <v>415697.83306162374</v>
      </c>
      <c r="I158" s="139">
        <v>312655.41830814874</v>
      </c>
      <c r="J158" s="139">
        <v>461214.78149149206</v>
      </c>
      <c r="K158" s="139">
        <v>455129.36511724821</v>
      </c>
      <c r="L158" s="139">
        <f t="shared" si="18"/>
        <v>876912.6145531158</v>
      </c>
      <c r="M158" s="140">
        <f t="shared" si="19"/>
        <v>767784.78342539701</v>
      </c>
      <c r="N158" s="21">
        <f>INDEX('CHIRP Payment Calc'!AM:AM,MATCH(F:F,'CHIRP Payment Calc'!C:C,0))</f>
        <v>1.27</v>
      </c>
      <c r="O158" s="141">
        <f>INDEX('CHIRP Payment Calc'!AL:AL,MATCH(F:F,'CHIRP Payment Calc'!C:C,0))</f>
        <v>1.3900000000000001</v>
      </c>
      <c r="P158" s="138">
        <f t="shared" si="20"/>
        <v>2180899.8694437589</v>
      </c>
      <c r="Q158" s="139">
        <f t="shared" si="21"/>
        <v>136490.28660585033</v>
      </c>
      <c r="R158" s="139">
        <f t="shared" si="22"/>
        <v>560144.56019974768</v>
      </c>
      <c r="S158" s="139">
        <f t="shared" si="23"/>
        <v>623130.60903637763</v>
      </c>
      <c r="T158" s="139">
        <f t="shared" si="24"/>
        <v>461104.54265074461</v>
      </c>
      <c r="U158" s="139">
        <f t="shared" si="25"/>
        <v>673010.44416273944</v>
      </c>
      <c r="V158" s="140">
        <f t="shared" si="26"/>
        <v>2317390.1560496092</v>
      </c>
    </row>
    <row r="159" spans="4:22">
      <c r="D159" s="9" t="s">
        <v>1550</v>
      </c>
      <c r="E159" s="9" t="s">
        <v>2279</v>
      </c>
      <c r="F159" s="4" t="s">
        <v>594</v>
      </c>
      <c r="G159" s="9" t="s">
        <v>2985</v>
      </c>
      <c r="H159" s="138">
        <v>5220530.8165660873</v>
      </c>
      <c r="I159" s="139">
        <v>8276364.289258155</v>
      </c>
      <c r="J159" s="139">
        <v>2630854.3913947246</v>
      </c>
      <c r="K159" s="139">
        <v>3983027.9445169619</v>
      </c>
      <c r="L159" s="139">
        <f t="shared" si="18"/>
        <v>7851385.2079608124</v>
      </c>
      <c r="M159" s="140">
        <f t="shared" si="19"/>
        <v>12259392.233775117</v>
      </c>
      <c r="N159" s="21">
        <f>INDEX('CHIRP Payment Calc'!AM:AM,MATCH(F:F,'CHIRP Payment Calc'!C:C,0))</f>
        <v>1.08</v>
      </c>
      <c r="O159" s="141">
        <f>INDEX('CHIRP Payment Calc'!AL:AL,MATCH(F:F,'CHIRP Payment Calc'!C:C,0))</f>
        <v>1.41</v>
      </c>
      <c r="P159" s="138">
        <f t="shared" si="20"/>
        <v>25765239.07422059</v>
      </c>
      <c r="Q159" s="139">
        <f t="shared" si="21"/>
        <v>1595749.9320760891</v>
      </c>
      <c r="R159" s="139">
        <f t="shared" si="22"/>
        <v>5982146.7181871347</v>
      </c>
      <c r="S159" s="139">
        <f t="shared" si="23"/>
        <v>3022683.7688364922</v>
      </c>
      <c r="T159" s="139">
        <f t="shared" si="24"/>
        <v>12381616.602497609</v>
      </c>
      <c r="U159" s="139">
        <f t="shared" si="25"/>
        <v>5974541.9167754427</v>
      </c>
      <c r="V159" s="140">
        <f t="shared" si="26"/>
        <v>27360989.006296679</v>
      </c>
    </row>
    <row r="160" spans="4:22">
      <c r="D160" s="9" t="s">
        <v>1550</v>
      </c>
      <c r="E160" s="9" t="s">
        <v>2279</v>
      </c>
      <c r="F160" s="4" t="s">
        <v>1135</v>
      </c>
      <c r="G160" s="9" t="s">
        <v>2890</v>
      </c>
      <c r="H160" s="138">
        <v>2387187.6378128268</v>
      </c>
      <c r="I160" s="139">
        <v>4752566.8464306686</v>
      </c>
      <c r="J160" s="139">
        <v>909142.62397136295</v>
      </c>
      <c r="K160" s="139">
        <v>1489385.5920204027</v>
      </c>
      <c r="L160" s="139">
        <f t="shared" si="18"/>
        <v>3296330.2617841898</v>
      </c>
      <c r="M160" s="140">
        <f t="shared" si="19"/>
        <v>6241952.4384510713</v>
      </c>
      <c r="N160" s="21">
        <f>INDEX('CHIRP Payment Calc'!AM:AM,MATCH(F:F,'CHIRP Payment Calc'!C:C,0))</f>
        <v>0.95</v>
      </c>
      <c r="O160" s="141">
        <f>INDEX('CHIRP Payment Calc'!AL:AL,MATCH(F:F,'CHIRP Payment Calc'!C:C,0))</f>
        <v>1.06</v>
      </c>
      <c r="P160" s="138">
        <f t="shared" si="20"/>
        <v>9747983.3334531151</v>
      </c>
      <c r="Q160" s="139">
        <f t="shared" si="21"/>
        <v>601596.68686034996</v>
      </c>
      <c r="R160" s="139">
        <f t="shared" si="22"/>
        <v>2406183.8259121329</v>
      </c>
      <c r="S160" s="139">
        <f t="shared" si="23"/>
        <v>918814.35401361156</v>
      </c>
      <c r="T160" s="139">
        <f t="shared" si="24"/>
        <v>5345061.9174710969</v>
      </c>
      <c r="U160" s="139">
        <f t="shared" si="25"/>
        <v>1679519.9229166242</v>
      </c>
      <c r="V160" s="140">
        <f t="shared" si="26"/>
        <v>10349580.020313466</v>
      </c>
    </row>
    <row r="161" spans="4:22">
      <c r="D161" s="9" t="s">
        <v>1526</v>
      </c>
      <c r="E161" s="9" t="s">
        <v>1547</v>
      </c>
      <c r="F161" s="4" t="s">
        <v>884</v>
      </c>
      <c r="G161" s="9" t="s">
        <v>2805</v>
      </c>
      <c r="H161" s="138">
        <v>9032721.9815141317</v>
      </c>
      <c r="I161" s="139">
        <v>34881631.635708205</v>
      </c>
      <c r="J161" s="139">
        <v>1888944.5041682096</v>
      </c>
      <c r="K161" s="139">
        <v>281283.62504080747</v>
      </c>
      <c r="L161" s="139">
        <f t="shared" si="18"/>
        <v>10921666.485682342</v>
      </c>
      <c r="M161" s="140">
        <f t="shared" si="19"/>
        <v>35162915.260749012</v>
      </c>
      <c r="N161" s="21">
        <f>INDEX('CHIRP Payment Calc'!AM:AM,MATCH(F:F,'CHIRP Payment Calc'!C:C,0))</f>
        <v>1.65</v>
      </c>
      <c r="O161" s="141">
        <f>INDEX('CHIRP Payment Calc'!AL:AL,MATCH(F:F,'CHIRP Payment Calc'!C:C,0))</f>
        <v>0.45</v>
      </c>
      <c r="P161" s="138">
        <f t="shared" si="20"/>
        <v>33844061.56871292</v>
      </c>
      <c r="Q161" s="139">
        <f t="shared" si="21"/>
        <v>2073909.2137782022</v>
      </c>
      <c r="R161" s="139">
        <f t="shared" si="22"/>
        <v>15813253.336337738</v>
      </c>
      <c r="S161" s="139">
        <f t="shared" si="23"/>
        <v>3315700.4594441978</v>
      </c>
      <c r="T161" s="139">
        <f t="shared" si="24"/>
        <v>16654359.932168376</v>
      </c>
      <c r="U161" s="139">
        <f t="shared" si="25"/>
        <v>134657.0545408121</v>
      </c>
      <c r="V161" s="140">
        <f t="shared" si="26"/>
        <v>35917970.782491125</v>
      </c>
    </row>
    <row r="162" spans="4:22">
      <c r="D162" s="9" t="s">
        <v>1526</v>
      </c>
      <c r="E162" s="9" t="s">
        <v>2529</v>
      </c>
      <c r="F162" s="4" t="s">
        <v>1269</v>
      </c>
      <c r="G162" s="9" t="s">
        <v>2986</v>
      </c>
      <c r="H162" s="138">
        <v>0</v>
      </c>
      <c r="I162" s="139">
        <v>6112.2186771548195</v>
      </c>
      <c r="J162" s="139">
        <v>0</v>
      </c>
      <c r="K162" s="139">
        <v>0</v>
      </c>
      <c r="L162" s="139">
        <f t="shared" si="18"/>
        <v>0</v>
      </c>
      <c r="M162" s="140">
        <f t="shared" si="19"/>
        <v>6112.2186771548195</v>
      </c>
      <c r="N162" s="21">
        <f>INDEX('CHIRP Payment Calc'!AM:AM,MATCH(F:F,'CHIRP Payment Calc'!C:C,0))</f>
        <v>0</v>
      </c>
      <c r="O162" s="141">
        <f>INDEX('CHIRP Payment Calc'!AL:AL,MATCH(F:F,'CHIRP Payment Calc'!C:C,0))</f>
        <v>0.14000000000000001</v>
      </c>
      <c r="P162" s="138">
        <f t="shared" si="20"/>
        <v>855.71061480167486</v>
      </c>
      <c r="Q162" s="139">
        <f t="shared" si="21"/>
        <v>52.205156871189715</v>
      </c>
      <c r="R162" s="139">
        <f t="shared" si="22"/>
        <v>0</v>
      </c>
      <c r="S162" s="139">
        <f t="shared" si="23"/>
        <v>0</v>
      </c>
      <c r="T162" s="139">
        <f t="shared" si="24"/>
        <v>907.91577167286459</v>
      </c>
      <c r="U162" s="139">
        <f t="shared" si="25"/>
        <v>0</v>
      </c>
      <c r="V162" s="140">
        <f t="shared" si="26"/>
        <v>907.91577167286459</v>
      </c>
    </row>
    <row r="163" spans="4:22">
      <c r="D163" s="9" t="s">
        <v>1526</v>
      </c>
      <c r="E163" s="9" t="s">
        <v>2291</v>
      </c>
      <c r="F163" s="4" t="s">
        <v>878</v>
      </c>
      <c r="G163" s="9" t="s">
        <v>2807</v>
      </c>
      <c r="H163" s="138">
        <v>2166102.8103484451</v>
      </c>
      <c r="I163" s="139">
        <v>2679247.0986365755</v>
      </c>
      <c r="J163" s="139">
        <v>229652.42905688717</v>
      </c>
      <c r="K163" s="139">
        <v>373060.1861104893</v>
      </c>
      <c r="L163" s="139">
        <f t="shared" si="18"/>
        <v>2395755.2394053321</v>
      </c>
      <c r="M163" s="140">
        <f t="shared" si="19"/>
        <v>3052307.284747065</v>
      </c>
      <c r="N163" s="21">
        <f>INDEX('CHIRP Payment Calc'!AM:AM,MATCH(F:F,'CHIRP Payment Calc'!C:C,0))</f>
        <v>0.54</v>
      </c>
      <c r="O163" s="141">
        <f>INDEX('CHIRP Payment Calc'!AL:AL,MATCH(F:F,'CHIRP Payment Calc'!C:C,0))</f>
        <v>0.49</v>
      </c>
      <c r="P163" s="138">
        <f t="shared" si="20"/>
        <v>2789338.3988049412</v>
      </c>
      <c r="Q163" s="139">
        <f t="shared" si="21"/>
        <v>171037.60930370699</v>
      </c>
      <c r="R163" s="139">
        <f t="shared" si="22"/>
        <v>1241056.2520829288</v>
      </c>
      <c r="S163" s="139">
        <f t="shared" si="23"/>
        <v>131927.99116033944</v>
      </c>
      <c r="T163" s="139">
        <f t="shared" si="24"/>
        <v>1392924.221041827</v>
      </c>
      <c r="U163" s="139">
        <f t="shared" si="25"/>
        <v>194467.54382355293</v>
      </c>
      <c r="V163" s="140">
        <f t="shared" si="26"/>
        <v>2960376.008108648</v>
      </c>
    </row>
    <row r="164" spans="4:22">
      <c r="D164" s="9" t="s">
        <v>1526</v>
      </c>
      <c r="E164" s="9" t="s">
        <v>2291</v>
      </c>
      <c r="F164" s="4" t="s">
        <v>1178</v>
      </c>
      <c r="G164" s="9" t="s">
        <v>2565</v>
      </c>
      <c r="H164" s="138">
        <v>304583.37690502754</v>
      </c>
      <c r="I164" s="139">
        <v>29582.686710707498</v>
      </c>
      <c r="J164" s="139">
        <v>50260.876888408005</v>
      </c>
      <c r="K164" s="139">
        <v>10915.349660652089</v>
      </c>
      <c r="L164" s="139">
        <f t="shared" si="18"/>
        <v>354844.25379343552</v>
      </c>
      <c r="M164" s="140">
        <f t="shared" si="19"/>
        <v>40498.036371359587</v>
      </c>
      <c r="N164" s="21">
        <f>INDEX('CHIRP Payment Calc'!AM:AM,MATCH(F:F,'CHIRP Payment Calc'!C:C,0))</f>
        <v>0.18</v>
      </c>
      <c r="O164" s="141">
        <f>INDEX('CHIRP Payment Calc'!AL:AL,MATCH(F:F,'CHIRP Payment Calc'!C:C,0))</f>
        <v>0.49</v>
      </c>
      <c r="P164" s="138">
        <f t="shared" si="20"/>
        <v>83716.003504784589</v>
      </c>
      <c r="Q164" s="139">
        <f t="shared" si="21"/>
        <v>5147.9639791948648</v>
      </c>
      <c r="R164" s="139">
        <f t="shared" si="22"/>
        <v>58169.769594594116</v>
      </c>
      <c r="S164" s="139">
        <f t="shared" si="23"/>
        <v>9624.4232339504688</v>
      </c>
      <c r="T164" s="139">
        <f t="shared" si="24"/>
        <v>15379.858342967293</v>
      </c>
      <c r="U164" s="139">
        <f t="shared" si="25"/>
        <v>5689.9163124675788</v>
      </c>
      <c r="V164" s="140">
        <f t="shared" si="26"/>
        <v>88863.967483979461</v>
      </c>
    </row>
    <row r="165" spans="4:22">
      <c r="D165" s="9" t="s">
        <v>1526</v>
      </c>
      <c r="E165" s="9" t="s">
        <v>2291</v>
      </c>
      <c r="F165" s="4" t="s">
        <v>872</v>
      </c>
      <c r="G165" s="9" t="s">
        <v>2806</v>
      </c>
      <c r="H165" s="138">
        <v>1257004.0614963681</v>
      </c>
      <c r="I165" s="139">
        <v>1950362.3171603377</v>
      </c>
      <c r="J165" s="139">
        <v>133858.38340023818</v>
      </c>
      <c r="K165" s="139">
        <v>240965.69741955111</v>
      </c>
      <c r="L165" s="139">
        <f t="shared" si="18"/>
        <v>1390862.4448966063</v>
      </c>
      <c r="M165" s="140">
        <f t="shared" si="19"/>
        <v>2191328.0145798889</v>
      </c>
      <c r="N165" s="21">
        <f>INDEX('CHIRP Payment Calc'!AM:AM,MATCH(F:F,'CHIRP Payment Calc'!C:C,0))</f>
        <v>0.4</v>
      </c>
      <c r="O165" s="141">
        <f>INDEX('CHIRP Payment Calc'!AL:AL,MATCH(F:F,'CHIRP Payment Calc'!C:C,0))</f>
        <v>0.49</v>
      </c>
      <c r="P165" s="138">
        <f t="shared" si="20"/>
        <v>1630095.7051027883</v>
      </c>
      <c r="Q165" s="139">
        <f t="shared" si="21"/>
        <v>99933.082254692577</v>
      </c>
      <c r="R165" s="139">
        <f t="shared" si="22"/>
        <v>533476.52477299445</v>
      </c>
      <c r="S165" s="139">
        <f t="shared" si="23"/>
        <v>56961.014212867318</v>
      </c>
      <c r="T165" s="139">
        <f t="shared" si="24"/>
        <v>1013981.4699295124</v>
      </c>
      <c r="U165" s="139">
        <f t="shared" si="25"/>
        <v>125609.77844210644</v>
      </c>
      <c r="V165" s="140">
        <f t="shared" si="26"/>
        <v>1730028.7873574805</v>
      </c>
    </row>
    <row r="166" spans="4:22">
      <c r="D166" s="9" t="s">
        <v>1526</v>
      </c>
      <c r="E166" s="9" t="s">
        <v>2291</v>
      </c>
      <c r="F166" s="4" t="s">
        <v>1076</v>
      </c>
      <c r="G166" s="9" t="s">
        <v>2639</v>
      </c>
      <c r="H166" s="138">
        <v>296463.9435209799</v>
      </c>
      <c r="I166" s="139">
        <v>26027.165903186975</v>
      </c>
      <c r="J166" s="139">
        <v>64322.2297446905</v>
      </c>
      <c r="K166" s="139">
        <v>2654.1617685694009</v>
      </c>
      <c r="L166" s="139">
        <f t="shared" si="18"/>
        <v>360786.17326567043</v>
      </c>
      <c r="M166" s="140">
        <f t="shared" si="19"/>
        <v>28681.327671756375</v>
      </c>
      <c r="N166" s="21">
        <f>INDEX('CHIRP Payment Calc'!AM:AM,MATCH(F:F,'CHIRP Payment Calc'!C:C,0))</f>
        <v>0.18</v>
      </c>
      <c r="O166" s="141">
        <f>INDEX('CHIRP Payment Calc'!AL:AL,MATCH(F:F,'CHIRP Payment Calc'!C:C,0))</f>
        <v>0.49</v>
      </c>
      <c r="P166" s="138">
        <f t="shared" si="20"/>
        <v>78995.361746981303</v>
      </c>
      <c r="Q166" s="139">
        <f t="shared" si="21"/>
        <v>4855.6867249573306</v>
      </c>
      <c r="R166" s="139">
        <f t="shared" si="22"/>
        <v>56619.108576951061</v>
      </c>
      <c r="S166" s="139">
        <f t="shared" si="23"/>
        <v>12317.022717068394</v>
      </c>
      <c r="T166" s="139">
        <f t="shared" si="24"/>
        <v>13531.364766643626</v>
      </c>
      <c r="U166" s="139">
        <f t="shared" si="25"/>
        <v>1383.5524112755388</v>
      </c>
      <c r="V166" s="140">
        <f t="shared" si="26"/>
        <v>83851.04847193863</v>
      </c>
    </row>
    <row r="167" spans="4:22">
      <c r="D167" s="9" t="s">
        <v>1526</v>
      </c>
      <c r="E167" s="9" t="s">
        <v>2291</v>
      </c>
      <c r="F167" s="4" t="s">
        <v>684</v>
      </c>
      <c r="G167" s="9" t="s">
        <v>2872</v>
      </c>
      <c r="H167" s="138">
        <v>1653837.1787380383</v>
      </c>
      <c r="I167" s="139">
        <v>1018544.5533950594</v>
      </c>
      <c r="J167" s="139">
        <v>142682.79602489539</v>
      </c>
      <c r="K167" s="139">
        <v>35686.707876025728</v>
      </c>
      <c r="L167" s="139">
        <f t="shared" si="18"/>
        <v>1796519.9747629338</v>
      </c>
      <c r="M167" s="140">
        <f t="shared" si="19"/>
        <v>1054231.2612710851</v>
      </c>
      <c r="N167" s="21">
        <f>INDEX('CHIRP Payment Calc'!AM:AM,MATCH(F:F,'CHIRP Payment Calc'!C:C,0))</f>
        <v>0.18</v>
      </c>
      <c r="O167" s="141">
        <f>INDEX('CHIRP Payment Calc'!AL:AL,MATCH(F:F,'CHIRP Payment Calc'!C:C,0))</f>
        <v>0.49</v>
      </c>
      <c r="P167" s="138">
        <f t="shared" si="20"/>
        <v>839946.91348015983</v>
      </c>
      <c r="Q167" s="139">
        <f t="shared" si="21"/>
        <v>51365.26231611488</v>
      </c>
      <c r="R167" s="139">
        <f t="shared" si="22"/>
        <v>315852.19328684022</v>
      </c>
      <c r="S167" s="139">
        <f t="shared" si="23"/>
        <v>27322.237536682096</v>
      </c>
      <c r="T167" s="139">
        <f t="shared" si="24"/>
        <v>529535.09937780281</v>
      </c>
      <c r="U167" s="139">
        <f t="shared" si="25"/>
        <v>18602.645594949583</v>
      </c>
      <c r="V167" s="140">
        <f t="shared" si="26"/>
        <v>891312.17579627479</v>
      </c>
    </row>
    <row r="168" spans="4:22">
      <c r="D168" s="9" t="s">
        <v>1526</v>
      </c>
      <c r="E168" s="9" t="s">
        <v>2291</v>
      </c>
      <c r="F168" s="4" t="s">
        <v>787</v>
      </c>
      <c r="G168" s="9" t="s">
        <v>2793</v>
      </c>
      <c r="H168" s="138">
        <v>278013.34991158481</v>
      </c>
      <c r="I168" s="139">
        <v>369427.78054030664</v>
      </c>
      <c r="J168" s="139">
        <v>78326.648483929937</v>
      </c>
      <c r="K168" s="139">
        <v>30914.392263519909</v>
      </c>
      <c r="L168" s="139">
        <f t="shared" si="18"/>
        <v>356339.99839551473</v>
      </c>
      <c r="M168" s="140">
        <f t="shared" si="19"/>
        <v>400342.17280382657</v>
      </c>
      <c r="N168" s="21">
        <f>INDEX('CHIRP Payment Calc'!AM:AM,MATCH(F:F,'CHIRP Payment Calc'!C:C,0))</f>
        <v>0.36</v>
      </c>
      <c r="O168" s="141">
        <f>INDEX('CHIRP Payment Calc'!AL:AL,MATCH(F:F,'CHIRP Payment Calc'!C:C,0))</f>
        <v>0.49</v>
      </c>
      <c r="P168" s="138">
        <f t="shared" si="20"/>
        <v>324450.06409626035</v>
      </c>
      <c r="Q168" s="139">
        <f t="shared" si="21"/>
        <v>19916.349769807799</v>
      </c>
      <c r="R168" s="139">
        <f t="shared" si="22"/>
        <v>106190.77556304565</v>
      </c>
      <c r="S168" s="139">
        <f t="shared" si="23"/>
        <v>29997.439844909339</v>
      </c>
      <c r="T168" s="139">
        <f t="shared" si="24"/>
        <v>192063.24929946978</v>
      </c>
      <c r="U168" s="139">
        <f t="shared" si="25"/>
        <v>16114.949158643358</v>
      </c>
      <c r="V168" s="140">
        <f t="shared" si="26"/>
        <v>344366.41386606812</v>
      </c>
    </row>
    <row r="169" spans="4:22">
      <c r="D169" s="9" t="s">
        <v>1526</v>
      </c>
      <c r="E169" s="9" t="s">
        <v>2291</v>
      </c>
      <c r="F169" s="4" t="s">
        <v>1087</v>
      </c>
      <c r="G169" s="9" t="s">
        <v>2813</v>
      </c>
      <c r="H169" s="138">
        <v>692264.29149730038</v>
      </c>
      <c r="I169" s="139">
        <v>396074.42571959406</v>
      </c>
      <c r="J169" s="139">
        <v>169401.42714551161</v>
      </c>
      <c r="K169" s="139">
        <v>69558.18614680109</v>
      </c>
      <c r="L169" s="139">
        <f t="shared" si="18"/>
        <v>861665.71864281199</v>
      </c>
      <c r="M169" s="140">
        <f t="shared" si="19"/>
        <v>465632.61186639516</v>
      </c>
      <c r="N169" s="21">
        <f>INDEX('CHIRP Payment Calc'!AM:AM,MATCH(F:F,'CHIRP Payment Calc'!C:C,0))</f>
        <v>0.3</v>
      </c>
      <c r="O169" s="141">
        <f>INDEX('CHIRP Payment Calc'!AL:AL,MATCH(F:F,'CHIRP Payment Calc'!C:C,0))</f>
        <v>0.49</v>
      </c>
      <c r="P169" s="138">
        <f t="shared" si="20"/>
        <v>486659.69540737721</v>
      </c>
      <c r="Q169" s="139">
        <f t="shared" si="21"/>
        <v>29929.698498964619</v>
      </c>
      <c r="R169" s="139">
        <f t="shared" si="22"/>
        <v>220349.37660391521</v>
      </c>
      <c r="S169" s="139">
        <f t="shared" si="23"/>
        <v>54064.285259205841</v>
      </c>
      <c r="T169" s="139">
        <f t="shared" si="24"/>
        <v>205916.67756244147</v>
      </c>
      <c r="U169" s="139">
        <f t="shared" si="25"/>
        <v>36259.05448077929</v>
      </c>
      <c r="V169" s="140">
        <f t="shared" si="26"/>
        <v>516589.39390634181</v>
      </c>
    </row>
    <row r="170" spans="4:22">
      <c r="D170" s="9" t="s">
        <v>1526</v>
      </c>
      <c r="E170" s="9" t="s">
        <v>2291</v>
      </c>
      <c r="F170" s="4" t="s">
        <v>814</v>
      </c>
      <c r="G170" s="9" t="s">
        <v>2339</v>
      </c>
      <c r="H170" s="138">
        <v>234857.48367246267</v>
      </c>
      <c r="I170" s="139">
        <v>17.679016416603055</v>
      </c>
      <c r="J170" s="139">
        <v>54830.968278778382</v>
      </c>
      <c r="K170" s="139">
        <v>18439.215890737869</v>
      </c>
      <c r="L170" s="139">
        <f t="shared" si="18"/>
        <v>289688.45195124106</v>
      </c>
      <c r="M170" s="140">
        <f t="shared" si="19"/>
        <v>18456.89490715447</v>
      </c>
      <c r="N170" s="21">
        <f>INDEX('CHIRP Payment Calc'!AM:AM,MATCH(F:F,'CHIRP Payment Calc'!C:C,0))</f>
        <v>0.19999999999999998</v>
      </c>
      <c r="O170" s="141">
        <f>INDEX('CHIRP Payment Calc'!AL:AL,MATCH(F:F,'CHIRP Payment Calc'!C:C,0))</f>
        <v>0.49</v>
      </c>
      <c r="P170" s="138">
        <f t="shared" si="20"/>
        <v>66981.568894753902</v>
      </c>
      <c r="Q170" s="139">
        <f t="shared" si="21"/>
        <v>4142.8492831051317</v>
      </c>
      <c r="R170" s="139">
        <f t="shared" si="22"/>
        <v>49837.131813785178</v>
      </c>
      <c r="S170" s="139">
        <f t="shared" si="23"/>
        <v>11666.163463569868</v>
      </c>
      <c r="T170" s="139">
        <f t="shared" si="24"/>
        <v>9.1912127789236049</v>
      </c>
      <c r="U170" s="139">
        <f t="shared" si="25"/>
        <v>9611.9316877250585</v>
      </c>
      <c r="V170" s="140">
        <f t="shared" si="26"/>
        <v>71124.418177859028</v>
      </c>
    </row>
    <row r="171" spans="4:22">
      <c r="D171" s="9" t="s">
        <v>1526</v>
      </c>
      <c r="E171" s="9" t="s">
        <v>2291</v>
      </c>
      <c r="F171" s="4" t="s">
        <v>723</v>
      </c>
      <c r="G171" s="9" t="s">
        <v>2887</v>
      </c>
      <c r="H171" s="138">
        <v>1463634.5965780963</v>
      </c>
      <c r="I171" s="139">
        <v>2309616.1007791315</v>
      </c>
      <c r="J171" s="139">
        <v>211488.29622552593</v>
      </c>
      <c r="K171" s="139">
        <v>86412.787938511319</v>
      </c>
      <c r="L171" s="139">
        <f t="shared" si="18"/>
        <v>1675122.8928036222</v>
      </c>
      <c r="M171" s="140">
        <f t="shared" si="19"/>
        <v>2396028.888717643</v>
      </c>
      <c r="N171" s="21">
        <f>INDEX('CHIRP Payment Calc'!AM:AM,MATCH(F:F,'CHIRP Payment Calc'!C:C,0))</f>
        <v>0.18</v>
      </c>
      <c r="O171" s="141">
        <f>INDEX('CHIRP Payment Calc'!AL:AL,MATCH(F:F,'CHIRP Payment Calc'!C:C,0))</f>
        <v>0.49</v>
      </c>
      <c r="P171" s="138">
        <f t="shared" si="20"/>
        <v>1475576.2761762971</v>
      </c>
      <c r="Q171" s="139">
        <f t="shared" si="21"/>
        <v>90248.798606981218</v>
      </c>
      <c r="R171" s="139">
        <f t="shared" si="22"/>
        <v>279527.03170722257</v>
      </c>
      <c r="S171" s="139">
        <f t="shared" si="23"/>
        <v>40497.758851696461</v>
      </c>
      <c r="T171" s="139">
        <f t="shared" si="24"/>
        <v>1200755.3202989649</v>
      </c>
      <c r="U171" s="139">
        <f t="shared" si="25"/>
        <v>45044.9639253942</v>
      </c>
      <c r="V171" s="140">
        <f t="shared" si="26"/>
        <v>1565825.0747832782</v>
      </c>
    </row>
    <row r="172" spans="4:22">
      <c r="D172" s="9" t="s">
        <v>1526</v>
      </c>
      <c r="E172" s="9" t="s">
        <v>2279</v>
      </c>
      <c r="F172" s="4" t="s">
        <v>2537</v>
      </c>
      <c r="G172" s="9" t="s">
        <v>2538</v>
      </c>
      <c r="H172" s="138">
        <v>0</v>
      </c>
      <c r="I172" s="139">
        <v>0</v>
      </c>
      <c r="J172" s="139">
        <v>0</v>
      </c>
      <c r="K172" s="139">
        <v>0</v>
      </c>
      <c r="L172" s="139">
        <f t="shared" si="18"/>
        <v>0</v>
      </c>
      <c r="M172" s="140">
        <f t="shared" si="19"/>
        <v>0</v>
      </c>
      <c r="N172" s="21">
        <f>INDEX('CHIRP Payment Calc'!AM:AM,MATCH(F:F,'CHIRP Payment Calc'!C:C,0))</f>
        <v>0.61</v>
      </c>
      <c r="O172" s="141">
        <f>INDEX('CHIRP Payment Calc'!AL:AL,MATCH(F:F,'CHIRP Payment Calc'!C:C,0))</f>
        <v>0</v>
      </c>
      <c r="P172" s="138">
        <f t="shared" si="20"/>
        <v>0</v>
      </c>
      <c r="Q172" s="139">
        <f t="shared" si="21"/>
        <v>0</v>
      </c>
      <c r="R172" s="139">
        <f t="shared" si="22"/>
        <v>0</v>
      </c>
      <c r="S172" s="139">
        <f t="shared" si="23"/>
        <v>0</v>
      </c>
      <c r="T172" s="139">
        <f t="shared" si="24"/>
        <v>0</v>
      </c>
      <c r="U172" s="139">
        <f t="shared" si="25"/>
        <v>0</v>
      </c>
      <c r="V172" s="140">
        <f t="shared" si="26"/>
        <v>0</v>
      </c>
    </row>
    <row r="173" spans="4:22">
      <c r="D173" s="9" t="s">
        <v>1526</v>
      </c>
      <c r="E173" s="9" t="s">
        <v>2279</v>
      </c>
      <c r="F173" s="4" t="s">
        <v>47</v>
      </c>
      <c r="G173" s="9" t="s">
        <v>2941</v>
      </c>
      <c r="H173" s="138">
        <v>4063474.7067896924</v>
      </c>
      <c r="I173" s="139">
        <v>4881986.9972098852</v>
      </c>
      <c r="J173" s="139">
        <v>2567404.3561923332</v>
      </c>
      <c r="K173" s="139">
        <v>2479956.4524837472</v>
      </c>
      <c r="L173" s="139">
        <f t="shared" si="18"/>
        <v>6630879.0629820256</v>
      </c>
      <c r="M173" s="140">
        <f t="shared" si="19"/>
        <v>7361943.4496936323</v>
      </c>
      <c r="N173" s="21">
        <f>INDEX('CHIRP Payment Calc'!AM:AM,MATCH(F:F,'CHIRP Payment Calc'!C:C,0))</f>
        <v>1.1400000000000001</v>
      </c>
      <c r="O173" s="141">
        <f>INDEX('CHIRP Payment Calc'!AL:AL,MATCH(F:F,'CHIRP Payment Calc'!C:C,0))</f>
        <v>0.46</v>
      </c>
      <c r="P173" s="138">
        <f t="shared" si="20"/>
        <v>10945696.11865858</v>
      </c>
      <c r="Q173" s="139">
        <f t="shared" si="21"/>
        <v>679252.6977244775</v>
      </c>
      <c r="R173" s="139">
        <f t="shared" si="22"/>
        <v>4914972.0591408489</v>
      </c>
      <c r="S173" s="139">
        <f t="shared" si="23"/>
        <v>3113660.6021907022</v>
      </c>
      <c r="T173" s="139">
        <f t="shared" si="24"/>
        <v>2382720.4442615886</v>
      </c>
      <c r="U173" s="139">
        <f t="shared" si="25"/>
        <v>1213595.7107899189</v>
      </c>
      <c r="V173" s="140">
        <f t="shared" si="26"/>
        <v>11624948.816383058</v>
      </c>
    </row>
    <row r="174" spans="4:22">
      <c r="D174" s="9" t="s">
        <v>1526</v>
      </c>
      <c r="E174" s="9" t="s">
        <v>2279</v>
      </c>
      <c r="F174" s="4" t="s">
        <v>1646</v>
      </c>
      <c r="G174" s="9" t="s">
        <v>2560</v>
      </c>
      <c r="H174" s="138">
        <v>11670644.699358094</v>
      </c>
      <c r="I174" s="139">
        <v>20520729.675142366</v>
      </c>
      <c r="J174" s="139">
        <v>2114291.0184984282</v>
      </c>
      <c r="K174" s="139">
        <v>3344979.2024871581</v>
      </c>
      <c r="L174" s="139">
        <f t="shared" si="18"/>
        <v>13784935.717856523</v>
      </c>
      <c r="M174" s="140">
        <f t="shared" si="19"/>
        <v>23865708.877629526</v>
      </c>
      <c r="N174" s="21">
        <f>INDEX('CHIRP Payment Calc'!AM:AM,MATCH(F:F,'CHIRP Payment Calc'!C:C,0))</f>
        <v>0.61</v>
      </c>
      <c r="O174" s="141">
        <f>INDEX('CHIRP Payment Calc'!AL:AL,MATCH(F:F,'CHIRP Payment Calc'!C:C,0))</f>
        <v>0.22</v>
      </c>
      <c r="P174" s="138">
        <f t="shared" si="20"/>
        <v>13659266.740970975</v>
      </c>
      <c r="Q174" s="139">
        <f t="shared" si="21"/>
        <v>839039.90034884517</v>
      </c>
      <c r="R174" s="139">
        <f t="shared" si="22"/>
        <v>7553414.6064811014</v>
      </c>
      <c r="S174" s="139">
        <f t="shared" si="23"/>
        <v>1372039.9162596185</v>
      </c>
      <c r="T174" s="139">
        <f t="shared" si="24"/>
        <v>4789984.6456565736</v>
      </c>
      <c r="U174" s="139">
        <f t="shared" si="25"/>
        <v>782867.47292252642</v>
      </c>
      <c r="V174" s="140">
        <f t="shared" si="26"/>
        <v>14498306.641319819</v>
      </c>
    </row>
    <row r="175" spans="4:22">
      <c r="D175" s="9" t="s">
        <v>1526</v>
      </c>
      <c r="E175" s="9" t="s">
        <v>2279</v>
      </c>
      <c r="F175" s="4" t="s">
        <v>1153</v>
      </c>
      <c r="G175" s="9" t="s">
        <v>2431</v>
      </c>
      <c r="H175" s="138">
        <v>8726813.8770381343</v>
      </c>
      <c r="I175" s="139">
        <v>25429866.389190372</v>
      </c>
      <c r="J175" s="139">
        <v>5297344.2947776718</v>
      </c>
      <c r="K175" s="139">
        <v>7730234.9042470269</v>
      </c>
      <c r="L175" s="139">
        <f t="shared" si="18"/>
        <v>14024158.171815805</v>
      </c>
      <c r="M175" s="140">
        <f t="shared" si="19"/>
        <v>33160101.293437399</v>
      </c>
      <c r="N175" s="21">
        <f>INDEX('CHIRP Payment Calc'!AM:AM,MATCH(F:F,'CHIRP Payment Calc'!C:C,0))</f>
        <v>1.17</v>
      </c>
      <c r="O175" s="141">
        <f>INDEX('CHIRP Payment Calc'!AL:AL,MATCH(F:F,'CHIRP Payment Calc'!C:C,0))</f>
        <v>0</v>
      </c>
      <c r="P175" s="138">
        <f t="shared" si="20"/>
        <v>16408265.061024491</v>
      </c>
      <c r="Q175" s="139">
        <f t="shared" si="21"/>
        <v>1018524.1363627728</v>
      </c>
      <c r="R175" s="139">
        <f t="shared" si="22"/>
        <v>10833286.19218527</v>
      </c>
      <c r="S175" s="139">
        <f t="shared" si="23"/>
        <v>6593503.0052019954</v>
      </c>
      <c r="T175" s="139">
        <f t="shared" si="24"/>
        <v>0</v>
      </c>
      <c r="U175" s="139">
        <f t="shared" si="25"/>
        <v>0</v>
      </c>
      <c r="V175" s="140">
        <f t="shared" si="26"/>
        <v>17426789.197387263</v>
      </c>
    </row>
    <row r="176" spans="4:22">
      <c r="D176" s="9" t="s">
        <v>1526</v>
      </c>
      <c r="E176" s="9" t="s">
        <v>2279</v>
      </c>
      <c r="F176" s="4" t="s">
        <v>318</v>
      </c>
      <c r="G176" s="9" t="s">
        <v>2942</v>
      </c>
      <c r="H176" s="138">
        <v>172204.29988342675</v>
      </c>
      <c r="I176" s="139">
        <v>20367.886834977722</v>
      </c>
      <c r="J176" s="139">
        <v>2878.5165093691626</v>
      </c>
      <c r="K176" s="139">
        <v>24564.346142932562</v>
      </c>
      <c r="L176" s="139">
        <f t="shared" si="18"/>
        <v>175082.81639279591</v>
      </c>
      <c r="M176" s="140">
        <f t="shared" si="19"/>
        <v>44932.232977910287</v>
      </c>
      <c r="N176" s="21">
        <f>INDEX('CHIRP Payment Calc'!AM:AM,MATCH(F:F,'CHIRP Payment Calc'!C:C,0))</f>
        <v>3.4699999999999998</v>
      </c>
      <c r="O176" s="141">
        <f>INDEX('CHIRP Payment Calc'!AL:AL,MATCH(F:F,'CHIRP Payment Calc'!C:C,0))</f>
        <v>0.32</v>
      </c>
      <c r="P176" s="138">
        <f t="shared" si="20"/>
        <v>621915.68743593316</v>
      </c>
      <c r="Q176" s="139">
        <f t="shared" si="21"/>
        <v>37992.172824138273</v>
      </c>
      <c r="R176" s="139">
        <f t="shared" si="22"/>
        <v>634004.1597830141</v>
      </c>
      <c r="S176" s="139">
        <f t="shared" si="23"/>
        <v>10626.013071820205</v>
      </c>
      <c r="T176" s="139">
        <f t="shared" si="24"/>
        <v>6915.3568033876618</v>
      </c>
      <c r="U176" s="139">
        <f t="shared" si="25"/>
        <v>8362.330601849384</v>
      </c>
      <c r="V176" s="140">
        <f t="shared" si="26"/>
        <v>659907.86026007135</v>
      </c>
    </row>
    <row r="177" spans="4:22">
      <c r="D177" s="9" t="s">
        <v>1526</v>
      </c>
      <c r="E177" s="9" t="s">
        <v>2279</v>
      </c>
      <c r="F177" s="4" t="s">
        <v>238</v>
      </c>
      <c r="G177" s="9" t="s">
        <v>2681</v>
      </c>
      <c r="H177" s="138">
        <v>11775.536141971674</v>
      </c>
      <c r="I177" s="139">
        <v>8855.734869884689</v>
      </c>
      <c r="J177" s="139">
        <v>10149.534601377462</v>
      </c>
      <c r="K177" s="139">
        <v>26069.263928167569</v>
      </c>
      <c r="L177" s="139">
        <f t="shared" si="18"/>
        <v>21925.070743349133</v>
      </c>
      <c r="M177" s="140">
        <f t="shared" si="19"/>
        <v>34924.998798052256</v>
      </c>
      <c r="N177" s="21">
        <f>INDEX('CHIRP Payment Calc'!AM:AM,MATCH(F:F,'CHIRP Payment Calc'!C:C,0))</f>
        <v>3.1799999999999997</v>
      </c>
      <c r="O177" s="141">
        <f>INDEX('CHIRP Payment Calc'!AL:AL,MATCH(F:F,'CHIRP Payment Calc'!C:C,0))</f>
        <v>0.46</v>
      </c>
      <c r="P177" s="138">
        <f t="shared" si="20"/>
        <v>85787.224410954281</v>
      </c>
      <c r="Q177" s="139">
        <f t="shared" si="21"/>
        <v>5358.618356578163</v>
      </c>
      <c r="R177" s="139">
        <f t="shared" si="22"/>
        <v>39730.721412700179</v>
      </c>
      <c r="S177" s="139">
        <f t="shared" si="23"/>
        <v>34335.659608915237</v>
      </c>
      <c r="T177" s="139">
        <f t="shared" si="24"/>
        <v>4322.1623768137479</v>
      </c>
      <c r="U177" s="139">
        <f t="shared" si="25"/>
        <v>12757.299369103281</v>
      </c>
      <c r="V177" s="140">
        <f t="shared" si="26"/>
        <v>91145.842767532435</v>
      </c>
    </row>
    <row r="178" spans="4:22">
      <c r="D178" s="9" t="s">
        <v>1526</v>
      </c>
      <c r="E178" s="9" t="s">
        <v>2279</v>
      </c>
      <c r="F178" s="4" t="s">
        <v>672</v>
      </c>
      <c r="G178" s="9" t="s">
        <v>2458</v>
      </c>
      <c r="H178" s="138">
        <v>2397632.3220990631</v>
      </c>
      <c r="I178" s="139">
        <v>1481165.8644132277</v>
      </c>
      <c r="J178" s="139">
        <v>658059.27281930123</v>
      </c>
      <c r="K178" s="139">
        <v>3033554.7070451141</v>
      </c>
      <c r="L178" s="139">
        <f t="shared" si="18"/>
        <v>3055691.5949183642</v>
      </c>
      <c r="M178" s="140">
        <f t="shared" si="19"/>
        <v>4514720.5714583416</v>
      </c>
      <c r="N178" s="21">
        <f>INDEX('CHIRP Payment Calc'!AM:AM,MATCH(F:F,'CHIRP Payment Calc'!C:C,0))</f>
        <v>1.9100000000000001</v>
      </c>
      <c r="O178" s="141">
        <f>INDEX('CHIRP Payment Calc'!AL:AL,MATCH(F:F,'CHIRP Payment Calc'!C:C,0))</f>
        <v>1.1299999999999999</v>
      </c>
      <c r="P178" s="138">
        <f t="shared" si="20"/>
        <v>10938005.192042001</v>
      </c>
      <c r="Q178" s="139">
        <f t="shared" si="21"/>
        <v>680525.09250520333</v>
      </c>
      <c r="R178" s="139">
        <f t="shared" si="22"/>
        <v>4858862.3185243616</v>
      </c>
      <c r="S178" s="139">
        <f t="shared" si="23"/>
        <v>1337120.4373243251</v>
      </c>
      <c r="T178" s="139">
        <f t="shared" si="24"/>
        <v>1775827.5085272649</v>
      </c>
      <c r="U178" s="139">
        <f t="shared" si="25"/>
        <v>3646720.0201712544</v>
      </c>
      <c r="V178" s="140">
        <f t="shared" si="26"/>
        <v>11618530.284547206</v>
      </c>
    </row>
    <row r="179" spans="4:22">
      <c r="D179" s="9" t="s">
        <v>1486</v>
      </c>
      <c r="E179" s="9" t="s">
        <v>2529</v>
      </c>
      <c r="F179" s="4" t="s">
        <v>2954</v>
      </c>
      <c r="G179" s="9" t="s">
        <v>2875</v>
      </c>
      <c r="H179" s="138">
        <v>0</v>
      </c>
      <c r="I179" s="139">
        <v>0</v>
      </c>
      <c r="J179" s="139">
        <v>0</v>
      </c>
      <c r="K179" s="139">
        <v>0</v>
      </c>
      <c r="L179" s="139">
        <f t="shared" si="18"/>
        <v>0</v>
      </c>
      <c r="M179" s="140">
        <f t="shared" si="19"/>
        <v>0</v>
      </c>
      <c r="N179" s="21">
        <f>INDEX('CHIRP Payment Calc'!AM:AM,MATCH(F:F,'CHIRP Payment Calc'!C:C,0))</f>
        <v>0</v>
      </c>
      <c r="O179" s="141">
        <f>INDEX('CHIRP Payment Calc'!AL:AL,MATCH(F:F,'CHIRP Payment Calc'!C:C,0))</f>
        <v>0.53</v>
      </c>
      <c r="P179" s="138">
        <f t="shared" si="20"/>
        <v>0</v>
      </c>
      <c r="Q179" s="139">
        <f t="shared" si="21"/>
        <v>0</v>
      </c>
      <c r="R179" s="139">
        <f t="shared" si="22"/>
        <v>0</v>
      </c>
      <c r="S179" s="139">
        <f t="shared" si="23"/>
        <v>0</v>
      </c>
      <c r="T179" s="139">
        <f t="shared" si="24"/>
        <v>0</v>
      </c>
      <c r="U179" s="139">
        <f t="shared" si="25"/>
        <v>0</v>
      </c>
      <c r="V179" s="140">
        <f t="shared" si="26"/>
        <v>0</v>
      </c>
    </row>
    <row r="180" spans="4:22">
      <c r="D180" s="9" t="s">
        <v>1486</v>
      </c>
      <c r="E180" s="9" t="s">
        <v>2529</v>
      </c>
      <c r="F180" s="4" t="s">
        <v>1260</v>
      </c>
      <c r="G180" s="9" t="s">
        <v>2584</v>
      </c>
      <c r="H180" s="138">
        <v>0</v>
      </c>
      <c r="I180" s="139">
        <v>2398852.0225756029</v>
      </c>
      <c r="J180" s="139">
        <v>0</v>
      </c>
      <c r="K180" s="139">
        <v>0</v>
      </c>
      <c r="L180" s="139">
        <f t="shared" si="18"/>
        <v>0</v>
      </c>
      <c r="M180" s="140">
        <f t="shared" si="19"/>
        <v>2398852.0225756029</v>
      </c>
      <c r="N180" s="21">
        <f>INDEX('CHIRP Payment Calc'!AM:AM,MATCH(F:F,'CHIRP Payment Calc'!C:C,0))</f>
        <v>0</v>
      </c>
      <c r="O180" s="141">
        <f>INDEX('CHIRP Payment Calc'!AL:AL,MATCH(F:F,'CHIRP Payment Calc'!C:C,0))</f>
        <v>0.53</v>
      </c>
      <c r="P180" s="138">
        <f t="shared" si="20"/>
        <v>1271391.5719650695</v>
      </c>
      <c r="Q180" s="139">
        <f t="shared" si="21"/>
        <v>77565.003064181976</v>
      </c>
      <c r="R180" s="139">
        <f t="shared" si="22"/>
        <v>0</v>
      </c>
      <c r="S180" s="139">
        <f t="shared" si="23"/>
        <v>0</v>
      </c>
      <c r="T180" s="139">
        <f t="shared" si="24"/>
        <v>1348956.5750292516</v>
      </c>
      <c r="U180" s="139">
        <f t="shared" si="25"/>
        <v>0</v>
      </c>
      <c r="V180" s="140">
        <f t="shared" si="26"/>
        <v>1348956.5750292516</v>
      </c>
    </row>
    <row r="181" spans="4:22">
      <c r="D181" s="9" t="s">
        <v>1486</v>
      </c>
      <c r="E181" s="9" t="s">
        <v>2291</v>
      </c>
      <c r="F181" s="4" t="s">
        <v>41</v>
      </c>
      <c r="G181" s="9" t="s">
        <v>2549</v>
      </c>
      <c r="H181" s="138">
        <v>24024.593479794938</v>
      </c>
      <c r="I181" s="139">
        <v>91960.260666366419</v>
      </c>
      <c r="J181" s="139">
        <v>21617.9090277572</v>
      </c>
      <c r="K181" s="139">
        <v>15396.05236357325</v>
      </c>
      <c r="L181" s="139">
        <f t="shared" si="18"/>
        <v>45642.502507552141</v>
      </c>
      <c r="M181" s="140">
        <f t="shared" si="19"/>
        <v>107356.31302993967</v>
      </c>
      <c r="N181" s="21">
        <f>INDEX('CHIRP Payment Calc'!AM:AM,MATCH(F:F,'CHIRP Payment Calc'!C:C,0))</f>
        <v>1.3</v>
      </c>
      <c r="O181" s="141">
        <f>INDEX('CHIRP Payment Calc'!AL:AL,MATCH(F:F,'CHIRP Payment Calc'!C:C,0))</f>
        <v>0.09</v>
      </c>
      <c r="P181" s="138">
        <f t="shared" si="20"/>
        <v>68997.321432512355</v>
      </c>
      <c r="Q181" s="139">
        <f t="shared" si="21"/>
        <v>4292.5983854047154</v>
      </c>
      <c r="R181" s="139">
        <f t="shared" si="22"/>
        <v>33137.370316958535</v>
      </c>
      <c r="S181" s="139">
        <f t="shared" si="23"/>
        <v>29897.108229876983</v>
      </c>
      <c r="T181" s="139">
        <f t="shared" si="24"/>
        <v>8781.3511511649631</v>
      </c>
      <c r="U181" s="139">
        <f t="shared" si="25"/>
        <v>1474.0901199165878</v>
      </c>
      <c r="V181" s="140">
        <f t="shared" si="26"/>
        <v>73289.919817917063</v>
      </c>
    </row>
    <row r="182" spans="4:22">
      <c r="D182" s="9" t="s">
        <v>1486</v>
      </c>
      <c r="E182" s="9" t="s">
        <v>2291</v>
      </c>
      <c r="F182" s="4" t="s">
        <v>769</v>
      </c>
      <c r="G182" s="9" t="s">
        <v>2668</v>
      </c>
      <c r="H182" s="138">
        <v>764795.38914732193</v>
      </c>
      <c r="I182" s="139">
        <v>45823.663011100012</v>
      </c>
      <c r="J182" s="139">
        <v>134170.67750620641</v>
      </c>
      <c r="K182" s="139">
        <v>21744.747041502764</v>
      </c>
      <c r="L182" s="139">
        <f t="shared" si="18"/>
        <v>898966.06665352837</v>
      </c>
      <c r="M182" s="140">
        <f t="shared" si="19"/>
        <v>67568.410052602776</v>
      </c>
      <c r="N182" s="21">
        <f>INDEX('CHIRP Payment Calc'!AM:AM,MATCH(F:F,'CHIRP Payment Calc'!C:C,0))</f>
        <v>0.09</v>
      </c>
      <c r="O182" s="141">
        <f>INDEX('CHIRP Payment Calc'!AL:AL,MATCH(F:F,'CHIRP Payment Calc'!C:C,0))</f>
        <v>0.09</v>
      </c>
      <c r="P182" s="138">
        <f t="shared" si="20"/>
        <v>86988.1029035518</v>
      </c>
      <c r="Q182" s="139">
        <f t="shared" si="21"/>
        <v>5346.5634995882501</v>
      </c>
      <c r="R182" s="139">
        <f t="shared" si="22"/>
        <v>73030.859441123583</v>
      </c>
      <c r="S182" s="139">
        <f t="shared" si="23"/>
        <v>12846.128697402741</v>
      </c>
      <c r="T182" s="139">
        <f t="shared" si="24"/>
        <v>4375.7343989379324</v>
      </c>
      <c r="U182" s="139">
        <f t="shared" si="25"/>
        <v>2081.9438656757966</v>
      </c>
      <c r="V182" s="140">
        <f t="shared" si="26"/>
        <v>92334.666403140058</v>
      </c>
    </row>
    <row r="183" spans="4:22">
      <c r="D183" s="9" t="s">
        <v>1486</v>
      </c>
      <c r="E183" s="9" t="s">
        <v>2291</v>
      </c>
      <c r="F183" s="4" t="s">
        <v>1014</v>
      </c>
      <c r="G183" s="9" t="s">
        <v>2552</v>
      </c>
      <c r="H183" s="138">
        <v>906293.3838057128</v>
      </c>
      <c r="I183" s="139">
        <v>2091508.2961026074</v>
      </c>
      <c r="J183" s="139">
        <v>292862.64325755619</v>
      </c>
      <c r="K183" s="139">
        <v>670270.92285988131</v>
      </c>
      <c r="L183" s="139">
        <f t="shared" si="18"/>
        <v>1199156.0270632689</v>
      </c>
      <c r="M183" s="140">
        <f t="shared" si="19"/>
        <v>2761779.2189624887</v>
      </c>
      <c r="N183" s="21">
        <f>INDEX('CHIRP Payment Calc'!AM:AM,MATCH(F:F,'CHIRP Payment Calc'!C:C,0))</f>
        <v>0.32999999999999996</v>
      </c>
      <c r="O183" s="141">
        <f>INDEX('CHIRP Payment Calc'!AL:AL,MATCH(F:F,'CHIRP Payment Calc'!C:C,0))</f>
        <v>0.09</v>
      </c>
      <c r="P183" s="138">
        <f t="shared" si="20"/>
        <v>644281.61863750266</v>
      </c>
      <c r="Q183" s="139">
        <f t="shared" si="21"/>
        <v>39749.245584613105</v>
      </c>
      <c r="R183" s="139">
        <f t="shared" si="22"/>
        <v>317322.88239351218</v>
      </c>
      <c r="S183" s="139">
        <f t="shared" si="23"/>
        <v>102813.48114361016</v>
      </c>
      <c r="T183" s="139">
        <f t="shared" si="24"/>
        <v>199719.62509202617</v>
      </c>
      <c r="U183" s="139">
        <f t="shared" si="25"/>
        <v>64174.875592967364</v>
      </c>
      <c r="V183" s="140">
        <f t="shared" si="26"/>
        <v>684030.86422211584</v>
      </c>
    </row>
    <row r="184" spans="4:22">
      <c r="D184" s="9" t="s">
        <v>1486</v>
      </c>
      <c r="E184" s="9" t="s">
        <v>2291</v>
      </c>
      <c r="F184" s="4" t="s">
        <v>726</v>
      </c>
      <c r="G184" s="9" t="s">
        <v>2987</v>
      </c>
      <c r="H184" s="138">
        <v>630813.22150711284</v>
      </c>
      <c r="I184" s="139">
        <v>4566.956141929687</v>
      </c>
      <c r="J184" s="139">
        <v>197516.18629717125</v>
      </c>
      <c r="K184" s="139">
        <v>2482.26140622705</v>
      </c>
      <c r="L184" s="139">
        <f t="shared" si="18"/>
        <v>828329.40780428413</v>
      </c>
      <c r="M184" s="140">
        <f t="shared" si="19"/>
        <v>7049.2175481567374</v>
      </c>
      <c r="N184" s="21">
        <f>INDEX('CHIRP Payment Calc'!AM:AM,MATCH(F:F,'CHIRP Payment Calc'!C:C,0))</f>
        <v>0.16999999999999998</v>
      </c>
      <c r="O184" s="141">
        <f>INDEX('CHIRP Payment Calc'!AL:AL,MATCH(F:F,'CHIRP Payment Calc'!C:C,0))</f>
        <v>0.39</v>
      </c>
      <c r="P184" s="138">
        <f t="shared" si="20"/>
        <v>143565.19417050941</v>
      </c>
      <c r="Q184" s="139">
        <f t="shared" si="21"/>
        <v>8856.1017314333803</v>
      </c>
      <c r="R184" s="139">
        <f t="shared" si="22"/>
        <v>113780.63411799382</v>
      </c>
      <c r="S184" s="139">
        <f t="shared" si="23"/>
        <v>35721.012415445868</v>
      </c>
      <c r="T184" s="139">
        <f t="shared" si="24"/>
        <v>1889.7749552812497</v>
      </c>
      <c r="U184" s="139">
        <f t="shared" si="25"/>
        <v>1029.8744132218612</v>
      </c>
      <c r="V184" s="140">
        <f t="shared" si="26"/>
        <v>152421.29590194282</v>
      </c>
    </row>
    <row r="185" spans="4:22">
      <c r="D185" s="9" t="s">
        <v>1486</v>
      </c>
      <c r="E185" s="9" t="s">
        <v>2291</v>
      </c>
      <c r="F185" s="4" t="s">
        <v>546</v>
      </c>
      <c r="G185" s="9" t="s">
        <v>2863</v>
      </c>
      <c r="H185" s="138">
        <v>182298.50837095204</v>
      </c>
      <c r="I185" s="139">
        <v>25596.638337228676</v>
      </c>
      <c r="J185" s="139">
        <v>113699.45606754397</v>
      </c>
      <c r="K185" s="139">
        <v>27002.154651086614</v>
      </c>
      <c r="L185" s="139">
        <f t="shared" si="18"/>
        <v>295997.96443849604</v>
      </c>
      <c r="M185" s="140">
        <f t="shared" si="19"/>
        <v>52598.79298831529</v>
      </c>
      <c r="N185" s="21">
        <f>INDEX('CHIRP Payment Calc'!AM:AM,MATCH(F:F,'CHIRP Payment Calc'!C:C,0))</f>
        <v>0.09</v>
      </c>
      <c r="O185" s="141">
        <f>INDEX('CHIRP Payment Calc'!AL:AL,MATCH(F:F,'CHIRP Payment Calc'!C:C,0))</f>
        <v>0.09</v>
      </c>
      <c r="P185" s="138">
        <f t="shared" si="20"/>
        <v>31373.708168413017</v>
      </c>
      <c r="Q185" s="139">
        <f t="shared" si="21"/>
        <v>1949.7790946604384</v>
      </c>
      <c r="R185" s="139">
        <f t="shared" si="22"/>
        <v>17407.815122955632</v>
      </c>
      <c r="S185" s="139">
        <f t="shared" si="23"/>
        <v>10886.118134126551</v>
      </c>
      <c r="T185" s="139">
        <f t="shared" si="24"/>
        <v>2444.2413266319159</v>
      </c>
      <c r="U185" s="139">
        <f t="shared" si="25"/>
        <v>2585.3126793593569</v>
      </c>
      <c r="V185" s="140">
        <f t="shared" si="26"/>
        <v>33323.487263073454</v>
      </c>
    </row>
    <row r="186" spans="4:22">
      <c r="D186" s="9" t="s">
        <v>1486</v>
      </c>
      <c r="E186" s="9" t="s">
        <v>2291</v>
      </c>
      <c r="F186" s="4" t="s">
        <v>136</v>
      </c>
      <c r="G186" s="9" t="s">
        <v>2816</v>
      </c>
      <c r="H186" s="138">
        <v>371459.56715405924</v>
      </c>
      <c r="I186" s="139">
        <v>44274.910834060429</v>
      </c>
      <c r="J186" s="139">
        <v>93150.405557605714</v>
      </c>
      <c r="K186" s="139">
        <v>81288.898933745295</v>
      </c>
      <c r="L186" s="139">
        <f t="shared" si="18"/>
        <v>464609.97271166497</v>
      </c>
      <c r="M186" s="140">
        <f t="shared" si="19"/>
        <v>125563.80976780572</v>
      </c>
      <c r="N186" s="21">
        <f>INDEX('CHIRP Payment Calc'!AM:AM,MATCH(F:F,'CHIRP Payment Calc'!C:C,0))</f>
        <v>0.24</v>
      </c>
      <c r="O186" s="141">
        <f>INDEX('CHIRP Payment Calc'!AL:AL,MATCH(F:F,'CHIRP Payment Calc'!C:C,0))</f>
        <v>0.7</v>
      </c>
      <c r="P186" s="138">
        <f t="shared" si="20"/>
        <v>199401.0602882636</v>
      </c>
      <c r="Q186" s="139">
        <f t="shared" si="21"/>
        <v>12388.70492132656</v>
      </c>
      <c r="R186" s="139">
        <f t="shared" si="22"/>
        <v>94589.173598911628</v>
      </c>
      <c r="S186" s="139">
        <f t="shared" si="23"/>
        <v>23783.082270026993</v>
      </c>
      <c r="T186" s="139">
        <f t="shared" si="24"/>
        <v>32883.222900628432</v>
      </c>
      <c r="U186" s="139">
        <f t="shared" si="25"/>
        <v>60534.28644002309</v>
      </c>
      <c r="V186" s="140">
        <f t="shared" si="26"/>
        <v>211789.76520959014</v>
      </c>
    </row>
    <row r="187" spans="4:22">
      <c r="D187" s="9" t="s">
        <v>1486</v>
      </c>
      <c r="E187" s="9" t="s">
        <v>2291</v>
      </c>
      <c r="F187" s="4" t="s">
        <v>160</v>
      </c>
      <c r="G187" s="9" t="s">
        <v>2988</v>
      </c>
      <c r="H187" s="138">
        <v>355868.93481913791</v>
      </c>
      <c r="I187" s="139">
        <v>190713.08655946059</v>
      </c>
      <c r="J187" s="139">
        <v>172402.1467554431</v>
      </c>
      <c r="K187" s="139">
        <v>158227.4164973005</v>
      </c>
      <c r="L187" s="139">
        <f t="shared" si="18"/>
        <v>528271.08157458098</v>
      </c>
      <c r="M187" s="140">
        <f t="shared" si="19"/>
        <v>348940.50305676111</v>
      </c>
      <c r="N187" s="21">
        <f>INDEX('CHIRP Payment Calc'!AM:AM,MATCH(F:F,'CHIRP Payment Calc'!C:C,0))</f>
        <v>0.27</v>
      </c>
      <c r="O187" s="141">
        <f>INDEX('CHIRP Payment Calc'!AL:AL,MATCH(F:F,'CHIRP Payment Calc'!C:C,0))</f>
        <v>0.11</v>
      </c>
      <c r="P187" s="138">
        <f t="shared" si="20"/>
        <v>181016.6473613806</v>
      </c>
      <c r="Q187" s="139">
        <f t="shared" si="21"/>
        <v>11223.922093209892</v>
      </c>
      <c r="R187" s="139">
        <f t="shared" si="22"/>
        <v>101946.53835667612</v>
      </c>
      <c r="S187" s="139">
        <f t="shared" si="23"/>
        <v>49519.76555741451</v>
      </c>
      <c r="T187" s="139">
        <f t="shared" si="24"/>
        <v>22258.291269539168</v>
      </c>
      <c r="U187" s="139">
        <f t="shared" si="25"/>
        <v>18515.974270960698</v>
      </c>
      <c r="V187" s="140">
        <f t="shared" si="26"/>
        <v>192240.56945459047</v>
      </c>
    </row>
    <row r="188" spans="4:22">
      <c r="D188" s="9" t="s">
        <v>1486</v>
      </c>
      <c r="E188" s="9" t="s">
        <v>2291</v>
      </c>
      <c r="F188" s="4" t="s">
        <v>372</v>
      </c>
      <c r="G188" s="9" t="s">
        <v>2722</v>
      </c>
      <c r="H188" s="138">
        <v>102954.23852252751</v>
      </c>
      <c r="I188" s="139">
        <v>2439.633866853846</v>
      </c>
      <c r="J188" s="139">
        <v>0</v>
      </c>
      <c r="K188" s="139">
        <v>0</v>
      </c>
      <c r="L188" s="139">
        <f t="shared" si="18"/>
        <v>102954.23852252751</v>
      </c>
      <c r="M188" s="140">
        <f t="shared" si="19"/>
        <v>2439.633866853846</v>
      </c>
      <c r="N188" s="21">
        <f>INDEX('CHIRP Payment Calc'!AM:AM,MATCH(F:F,'CHIRP Payment Calc'!C:C,0))</f>
        <v>1.1100000000000001</v>
      </c>
      <c r="O188" s="141">
        <f>INDEX('CHIRP Payment Calc'!AL:AL,MATCH(F:F,'CHIRP Payment Calc'!C:C,0))</f>
        <v>0.25</v>
      </c>
      <c r="P188" s="138">
        <f t="shared" si="20"/>
        <v>114889.113226719</v>
      </c>
      <c r="Q188" s="139">
        <f t="shared" si="21"/>
        <v>7009.1501438051391</v>
      </c>
      <c r="R188" s="139">
        <f t="shared" si="22"/>
        <v>121251.14563395813</v>
      </c>
      <c r="S188" s="139">
        <f t="shared" si="23"/>
        <v>0</v>
      </c>
      <c r="T188" s="139">
        <f t="shared" si="24"/>
        <v>647.1177365660069</v>
      </c>
      <c r="U188" s="139">
        <f t="shared" si="25"/>
        <v>0</v>
      </c>
      <c r="V188" s="140">
        <f t="shared" si="26"/>
        <v>121898.26337052415</v>
      </c>
    </row>
    <row r="189" spans="4:22">
      <c r="D189" s="9" t="s">
        <v>1486</v>
      </c>
      <c r="E189" s="9" t="s">
        <v>2291</v>
      </c>
      <c r="F189" s="4" t="s">
        <v>1706</v>
      </c>
      <c r="G189" s="9" t="s">
        <v>2603</v>
      </c>
      <c r="H189" s="138">
        <v>371694.68078698829</v>
      </c>
      <c r="I189" s="139">
        <v>37057.633630544282</v>
      </c>
      <c r="J189" s="139">
        <v>167423.39737255132</v>
      </c>
      <c r="K189" s="139">
        <v>109945.46413345526</v>
      </c>
      <c r="L189" s="139">
        <f t="shared" si="18"/>
        <v>539118.07815953961</v>
      </c>
      <c r="M189" s="140">
        <f t="shared" si="19"/>
        <v>147003.09776399954</v>
      </c>
      <c r="N189" s="21">
        <f>INDEX('CHIRP Payment Calc'!AM:AM,MATCH(F:F,'CHIRP Payment Calc'!C:C,0))</f>
        <v>0.23</v>
      </c>
      <c r="O189" s="141">
        <f>INDEX('CHIRP Payment Calc'!AL:AL,MATCH(F:F,'CHIRP Payment Calc'!C:C,0))</f>
        <v>0.09</v>
      </c>
      <c r="P189" s="138">
        <f t="shared" si="20"/>
        <v>137227.43677545409</v>
      </c>
      <c r="Q189" s="139">
        <f t="shared" si="21"/>
        <v>8508.5491739178706</v>
      </c>
      <c r="R189" s="139">
        <f t="shared" si="22"/>
        <v>90705.333242448076</v>
      </c>
      <c r="S189" s="139">
        <f t="shared" si="23"/>
        <v>40965.299357113625</v>
      </c>
      <c r="T189" s="139">
        <f t="shared" si="24"/>
        <v>3538.6599753304886</v>
      </c>
      <c r="U189" s="139">
        <f t="shared" si="25"/>
        <v>10526.693374479759</v>
      </c>
      <c r="V189" s="140">
        <f t="shared" si="26"/>
        <v>145735.98594937197</v>
      </c>
    </row>
    <row r="190" spans="4:22">
      <c r="D190" s="9" t="s">
        <v>1486</v>
      </c>
      <c r="E190" s="9" t="s">
        <v>2291</v>
      </c>
      <c r="F190" s="4" t="s">
        <v>98</v>
      </c>
      <c r="G190" s="9" t="s">
        <v>2885</v>
      </c>
      <c r="H190" s="138">
        <v>1075243.709556713</v>
      </c>
      <c r="I190" s="139">
        <v>1290113.8893422054</v>
      </c>
      <c r="J190" s="139">
        <v>283000.40205214039</v>
      </c>
      <c r="K190" s="139">
        <v>377430.35286676796</v>
      </c>
      <c r="L190" s="139">
        <f t="shared" si="18"/>
        <v>1358244.1116088533</v>
      </c>
      <c r="M190" s="140">
        <f t="shared" si="19"/>
        <v>1667544.2422089733</v>
      </c>
      <c r="N190" s="21">
        <f>INDEX('CHIRP Payment Calc'!AM:AM,MATCH(F:F,'CHIRP Payment Calc'!C:C,0))</f>
        <v>0.31</v>
      </c>
      <c r="O190" s="141">
        <f>INDEX('CHIRP Payment Calc'!AL:AL,MATCH(F:F,'CHIRP Payment Calc'!C:C,0))</f>
        <v>9.9999999999999992E-2</v>
      </c>
      <c r="P190" s="138">
        <f t="shared" si="20"/>
        <v>587810.09881964186</v>
      </c>
      <c r="Q190" s="139">
        <f t="shared" si="21"/>
        <v>36215.157447947109</v>
      </c>
      <c r="R190" s="139">
        <f t="shared" si="22"/>
        <v>353661.06096825568</v>
      </c>
      <c r="S190" s="139">
        <f t="shared" si="23"/>
        <v>93329.919825705874</v>
      </c>
      <c r="T190" s="139">
        <f t="shared" si="24"/>
        <v>136882.11027503503</v>
      </c>
      <c r="U190" s="139">
        <f t="shared" si="25"/>
        <v>40152.165198592338</v>
      </c>
      <c r="V190" s="140">
        <f t="shared" si="26"/>
        <v>624025.25626758893</v>
      </c>
    </row>
    <row r="191" spans="4:22">
      <c r="D191" s="9" t="s">
        <v>1486</v>
      </c>
      <c r="E191" s="9" t="s">
        <v>2291</v>
      </c>
      <c r="F191" s="4" t="s">
        <v>963</v>
      </c>
      <c r="G191" s="9" t="s">
        <v>2435</v>
      </c>
      <c r="H191" s="138">
        <v>656181.53845344391</v>
      </c>
      <c r="I191" s="139">
        <v>138663.79245420342</v>
      </c>
      <c r="J191" s="139">
        <v>105724.07538307254</v>
      </c>
      <c r="K191" s="139">
        <v>96498.226853405111</v>
      </c>
      <c r="L191" s="139">
        <f t="shared" si="18"/>
        <v>761905.61383651639</v>
      </c>
      <c r="M191" s="140">
        <f t="shared" si="19"/>
        <v>235162.01930760854</v>
      </c>
      <c r="N191" s="21">
        <f>INDEX('CHIRP Payment Calc'!AM:AM,MATCH(F:F,'CHIRP Payment Calc'!C:C,0))</f>
        <v>1.3900000000000001</v>
      </c>
      <c r="O191" s="141">
        <f>INDEX('CHIRP Payment Calc'!AL:AL,MATCH(F:F,'CHIRP Payment Calc'!C:C,0))</f>
        <v>1.1200000000000001</v>
      </c>
      <c r="P191" s="138">
        <f t="shared" si="20"/>
        <v>1322430.2648572794</v>
      </c>
      <c r="Q191" s="139">
        <f t="shared" si="21"/>
        <v>81398.433334478992</v>
      </c>
      <c r="R191" s="139">
        <f t="shared" si="22"/>
        <v>967737.22912497295</v>
      </c>
      <c r="S191" s="139">
        <f t="shared" si="23"/>
        <v>156336.66466220305</v>
      </c>
      <c r="T191" s="139">
        <f t="shared" si="24"/>
        <v>164778.19368563165</v>
      </c>
      <c r="U191" s="139">
        <f t="shared" si="25"/>
        <v>114976.61071895079</v>
      </c>
      <c r="V191" s="140">
        <f t="shared" si="26"/>
        <v>1403828.6981917585</v>
      </c>
    </row>
    <row r="192" spans="4:22">
      <c r="D192" s="9" t="s">
        <v>1486</v>
      </c>
      <c r="E192" s="9" t="s">
        <v>2291</v>
      </c>
      <c r="F192" s="4" t="s">
        <v>754</v>
      </c>
      <c r="G192" s="9" t="s">
        <v>2921</v>
      </c>
      <c r="H192" s="138">
        <v>582395.12366608821</v>
      </c>
      <c r="I192" s="139">
        <v>2356315.1971140974</v>
      </c>
      <c r="J192" s="139">
        <v>147667.85048972996</v>
      </c>
      <c r="K192" s="139">
        <v>255967.71029372726</v>
      </c>
      <c r="L192" s="139">
        <f t="shared" si="18"/>
        <v>730062.97415581811</v>
      </c>
      <c r="M192" s="140">
        <f t="shared" si="19"/>
        <v>2612282.9074078249</v>
      </c>
      <c r="N192" s="21">
        <f>INDEX('CHIRP Payment Calc'!AM:AM,MATCH(F:F,'CHIRP Payment Calc'!C:C,0))</f>
        <v>0.67999999999999994</v>
      </c>
      <c r="O192" s="141">
        <f>INDEX('CHIRP Payment Calc'!AL:AL,MATCH(F:F,'CHIRP Payment Calc'!C:C,0))</f>
        <v>0.23</v>
      </c>
      <c r="P192" s="138">
        <f t="shared" si="20"/>
        <v>1097267.8911297559</v>
      </c>
      <c r="Q192" s="139">
        <f t="shared" si="21"/>
        <v>67391.552903453645</v>
      </c>
      <c r="R192" s="139">
        <f t="shared" si="22"/>
        <v>420189.58524449862</v>
      </c>
      <c r="S192" s="139">
        <f t="shared" si="23"/>
        <v>106823.55141810252</v>
      </c>
      <c r="T192" s="139">
        <f t="shared" si="24"/>
        <v>575015.91017107945</v>
      </c>
      <c r="U192" s="139">
        <f t="shared" si="25"/>
        <v>62630.397199529012</v>
      </c>
      <c r="V192" s="140">
        <f t="shared" si="26"/>
        <v>1164659.4440332095</v>
      </c>
    </row>
    <row r="193" spans="4:22">
      <c r="D193" s="9" t="s">
        <v>1486</v>
      </c>
      <c r="E193" s="9" t="s">
        <v>2291</v>
      </c>
      <c r="F193" s="4" t="s">
        <v>1051</v>
      </c>
      <c r="G193" s="9" t="s">
        <v>2597</v>
      </c>
      <c r="H193" s="138">
        <v>239082.23012450841</v>
      </c>
      <c r="I193" s="139">
        <v>2456.5203811629758</v>
      </c>
      <c r="J193" s="139">
        <v>70290.927577242212</v>
      </c>
      <c r="K193" s="139">
        <v>24619.168441173781</v>
      </c>
      <c r="L193" s="139">
        <f t="shared" si="18"/>
        <v>309373.15770175064</v>
      </c>
      <c r="M193" s="140">
        <f t="shared" si="19"/>
        <v>27075.688822336757</v>
      </c>
      <c r="N193" s="21">
        <f>INDEX('CHIRP Payment Calc'!AM:AM,MATCH(F:F,'CHIRP Payment Calc'!C:C,0))</f>
        <v>0.32</v>
      </c>
      <c r="O193" s="141">
        <f>INDEX('CHIRP Payment Calc'!AL:AL,MATCH(F:F,'CHIRP Payment Calc'!C:C,0))</f>
        <v>0.09</v>
      </c>
      <c r="P193" s="138">
        <f t="shared" si="20"/>
        <v>101436.22245857051</v>
      </c>
      <c r="Q193" s="139">
        <f t="shared" si="21"/>
        <v>6258.1408418610454</v>
      </c>
      <c r="R193" s="139">
        <f t="shared" si="22"/>
        <v>81173.807575429906</v>
      </c>
      <c r="S193" s="139">
        <f t="shared" si="23"/>
        <v>23928.826409273945</v>
      </c>
      <c r="T193" s="139">
        <f t="shared" si="24"/>
        <v>234.57489050893139</v>
      </c>
      <c r="U193" s="139">
        <f t="shared" si="25"/>
        <v>2357.1544252187664</v>
      </c>
      <c r="V193" s="140">
        <f t="shared" si="26"/>
        <v>107694.36330043153</v>
      </c>
    </row>
    <row r="194" spans="4:22">
      <c r="D194" s="9" t="s">
        <v>1486</v>
      </c>
      <c r="E194" s="9" t="s">
        <v>2291</v>
      </c>
      <c r="F194" s="4" t="s">
        <v>77</v>
      </c>
      <c r="G194" s="9" t="s">
        <v>2335</v>
      </c>
      <c r="H194" s="138">
        <v>619821.79444973473</v>
      </c>
      <c r="I194" s="139">
        <v>1531208.1033434216</v>
      </c>
      <c r="J194" s="139">
        <v>174919.96480325432</v>
      </c>
      <c r="K194" s="139">
        <v>99609.764139824882</v>
      </c>
      <c r="L194" s="139">
        <f t="shared" si="18"/>
        <v>794741.75925298908</v>
      </c>
      <c r="M194" s="140">
        <f t="shared" si="19"/>
        <v>1630817.8674832464</v>
      </c>
      <c r="N194" s="21">
        <f>INDEX('CHIRP Payment Calc'!AM:AM,MATCH(F:F,'CHIRP Payment Calc'!C:C,0))</f>
        <v>0.22</v>
      </c>
      <c r="O194" s="141">
        <f>INDEX('CHIRP Payment Calc'!AL:AL,MATCH(F:F,'CHIRP Payment Calc'!C:C,0))</f>
        <v>0.09</v>
      </c>
      <c r="P194" s="138">
        <f t="shared" si="20"/>
        <v>321616.79510914977</v>
      </c>
      <c r="Q194" s="139">
        <f t="shared" si="21"/>
        <v>19755.071903857774</v>
      </c>
      <c r="R194" s="139">
        <f t="shared" si="22"/>
        <v>144679.88835961977</v>
      </c>
      <c r="S194" s="139">
        <f t="shared" si="23"/>
        <v>40938.715166719099</v>
      </c>
      <c r="T194" s="139">
        <f t="shared" si="24"/>
        <v>146216.1584094514</v>
      </c>
      <c r="U194" s="139">
        <f t="shared" si="25"/>
        <v>9537.1050772172766</v>
      </c>
      <c r="V194" s="140">
        <f t="shared" si="26"/>
        <v>341371.86701300758</v>
      </c>
    </row>
    <row r="195" spans="4:22">
      <c r="D195" s="9" t="s">
        <v>1486</v>
      </c>
      <c r="E195" s="9" t="s">
        <v>2291</v>
      </c>
      <c r="F195" s="4" t="s">
        <v>543</v>
      </c>
      <c r="G195" s="9" t="s">
        <v>2989</v>
      </c>
      <c r="H195" s="138">
        <v>355249.24617102434</v>
      </c>
      <c r="I195" s="139">
        <v>15223.477895695831</v>
      </c>
      <c r="J195" s="139">
        <v>170435.05415641464</v>
      </c>
      <c r="K195" s="139">
        <v>31137.777132222418</v>
      </c>
      <c r="L195" s="139">
        <f t="shared" si="18"/>
        <v>525684.30032743898</v>
      </c>
      <c r="M195" s="140">
        <f t="shared" si="19"/>
        <v>46361.255027918247</v>
      </c>
      <c r="N195" s="21">
        <f>INDEX('CHIRP Payment Calc'!AM:AM,MATCH(F:F,'CHIRP Payment Calc'!C:C,0))</f>
        <v>0.35</v>
      </c>
      <c r="O195" s="141">
        <f>INDEX('CHIRP Payment Calc'!AL:AL,MATCH(F:F,'CHIRP Payment Calc'!C:C,0))</f>
        <v>0.18</v>
      </c>
      <c r="P195" s="138">
        <f t="shared" si="20"/>
        <v>192334.53101962892</v>
      </c>
      <c r="Q195" s="139">
        <f t="shared" si="21"/>
        <v>11918.081239017221</v>
      </c>
      <c r="R195" s="139">
        <f t="shared" si="22"/>
        <v>131922.79698658726</v>
      </c>
      <c r="S195" s="139">
        <f t="shared" si="23"/>
        <v>63459.860590154385</v>
      </c>
      <c r="T195" s="139">
        <f t="shared" si="24"/>
        <v>2907.4016140320946</v>
      </c>
      <c r="U195" s="139">
        <f t="shared" si="25"/>
        <v>5962.5530678723781</v>
      </c>
      <c r="V195" s="140">
        <f t="shared" si="26"/>
        <v>204252.61225864614</v>
      </c>
    </row>
    <row r="196" spans="4:22">
      <c r="D196" s="9" t="s">
        <v>1486</v>
      </c>
      <c r="E196" s="9" t="s">
        <v>2291</v>
      </c>
      <c r="F196" s="4" t="s">
        <v>280</v>
      </c>
      <c r="G196" s="9" t="s">
        <v>2927</v>
      </c>
      <c r="H196" s="138">
        <v>528314.80874325766</v>
      </c>
      <c r="I196" s="139">
        <v>216.827034502955</v>
      </c>
      <c r="J196" s="139">
        <v>97044.205062059787</v>
      </c>
      <c r="K196" s="139">
        <v>39877.555626515845</v>
      </c>
      <c r="L196" s="139">
        <f t="shared" si="18"/>
        <v>625359.01380531746</v>
      </c>
      <c r="M196" s="140">
        <f t="shared" si="19"/>
        <v>40094.382661018797</v>
      </c>
      <c r="N196" s="21">
        <f>INDEX('CHIRP Payment Calc'!AM:AM,MATCH(F:F,'CHIRP Payment Calc'!C:C,0))</f>
        <v>0.37</v>
      </c>
      <c r="O196" s="141">
        <f>INDEX('CHIRP Payment Calc'!AL:AL,MATCH(F:F,'CHIRP Payment Calc'!C:C,0))</f>
        <v>0.12</v>
      </c>
      <c r="P196" s="138">
        <f t="shared" si="20"/>
        <v>236194.16102728972</v>
      </c>
      <c r="Q196" s="139">
        <f t="shared" si="21"/>
        <v>14524.548292674946</v>
      </c>
      <c r="R196" s="139">
        <f t="shared" si="22"/>
        <v>207402.09998409051</v>
      </c>
      <c r="S196" s="139">
        <f t="shared" si="23"/>
        <v>38198.250928683112</v>
      </c>
      <c r="T196" s="139">
        <f t="shared" si="24"/>
        <v>27.606625082604349</v>
      </c>
      <c r="U196" s="139">
        <f t="shared" si="25"/>
        <v>5090.7517821084057</v>
      </c>
      <c r="V196" s="140">
        <f t="shared" si="26"/>
        <v>250718.70931996466</v>
      </c>
    </row>
    <row r="197" spans="4:22">
      <c r="D197" s="9" t="s">
        <v>1486</v>
      </c>
      <c r="E197" s="9" t="s">
        <v>2291</v>
      </c>
      <c r="F197" s="4" t="s">
        <v>817</v>
      </c>
      <c r="G197" s="9" t="s">
        <v>2841</v>
      </c>
      <c r="H197" s="138">
        <v>659471.51586440974</v>
      </c>
      <c r="I197" s="139">
        <v>9042.813322665208</v>
      </c>
      <c r="J197" s="139">
        <v>163080.24438183452</v>
      </c>
      <c r="K197" s="139">
        <v>2945.8551848000757</v>
      </c>
      <c r="L197" s="139">
        <f t="shared" ref="L197:L260" si="27">H197+J197</f>
        <v>822551.76024624426</v>
      </c>
      <c r="M197" s="140">
        <f t="shared" ref="M197:M260" si="28">I197+K197</f>
        <v>11988.668507465283</v>
      </c>
      <c r="N197" s="21">
        <f>INDEX('CHIRP Payment Calc'!AM:AM,MATCH(F:F,'CHIRP Payment Calc'!C:C,0))</f>
        <v>0.39</v>
      </c>
      <c r="O197" s="141">
        <f>INDEX('CHIRP Payment Calc'!AL:AL,MATCH(F:F,'CHIRP Payment Calc'!C:C,0))</f>
        <v>0.09</v>
      </c>
      <c r="P197" s="138">
        <f t="shared" ref="P197:P260" si="29">(L197*N197)+(M197*O197)</f>
        <v>321874.1666617071</v>
      </c>
      <c r="Q197" s="139">
        <f t="shared" ref="Q197:Q260" si="30">(R197+T197)*$B$10+(S197+U197)*$B$11</f>
        <v>19817.105664827744</v>
      </c>
      <c r="R197" s="139">
        <f t="shared" ref="R197:R260" si="31">H197/(1-$B$10)*N197</f>
        <v>272884.76518527302</v>
      </c>
      <c r="S197" s="139">
        <f t="shared" ref="S197:S260" si="32">J197/(1-$B$11)*N197</f>
        <v>67660.952456293046</v>
      </c>
      <c r="T197" s="139">
        <f t="shared" ref="T197:T260" si="33">I197/(1-$B$10)*O197</f>
        <v>863.50472046670416</v>
      </c>
      <c r="U197" s="139">
        <f t="shared" ref="U197:U260" si="34">K197/(1-$B$11)*O197</f>
        <v>282.04996450213491</v>
      </c>
      <c r="V197" s="140">
        <f t="shared" ref="V197:V260" si="35">SUM(R197:U197)</f>
        <v>341691.27232653491</v>
      </c>
    </row>
    <row r="198" spans="4:22">
      <c r="D198" s="9" t="s">
        <v>1486</v>
      </c>
      <c r="E198" s="9" t="s">
        <v>2291</v>
      </c>
      <c r="F198" s="4" t="s">
        <v>89</v>
      </c>
      <c r="G198" s="9" t="s">
        <v>2679</v>
      </c>
      <c r="H198" s="138">
        <v>815511.1123926132</v>
      </c>
      <c r="I198" s="139">
        <v>57818.397941979696</v>
      </c>
      <c r="J198" s="139">
        <v>328842.09586759325</v>
      </c>
      <c r="K198" s="139">
        <v>68857.378235216267</v>
      </c>
      <c r="L198" s="139">
        <f t="shared" si="27"/>
        <v>1144353.2082602065</v>
      </c>
      <c r="M198" s="140">
        <f t="shared" si="28"/>
        <v>126675.77617719596</v>
      </c>
      <c r="N198" s="21">
        <f>INDEX('CHIRP Payment Calc'!AM:AM,MATCH(F:F,'CHIRP Payment Calc'!C:C,0))</f>
        <v>0.09</v>
      </c>
      <c r="O198" s="141">
        <f>INDEX('CHIRP Payment Calc'!AL:AL,MATCH(F:F,'CHIRP Payment Calc'!C:C,0))</f>
        <v>0.09</v>
      </c>
      <c r="P198" s="138">
        <f t="shared" si="29"/>
        <v>114392.60859936621</v>
      </c>
      <c r="Q198" s="139">
        <f t="shared" si="30"/>
        <v>7079.8610265465049</v>
      </c>
      <c r="R198" s="139">
        <f t="shared" si="31"/>
        <v>77873.740175421946</v>
      </c>
      <c r="S198" s="139">
        <f t="shared" si="32"/>
        <v>31484.88151923765</v>
      </c>
      <c r="T198" s="139">
        <f t="shared" si="33"/>
        <v>5521.1202278813498</v>
      </c>
      <c r="U198" s="139">
        <f t="shared" si="34"/>
        <v>6592.727703371771</v>
      </c>
      <c r="V198" s="140">
        <f t="shared" si="35"/>
        <v>121472.46962591271</v>
      </c>
    </row>
    <row r="199" spans="4:22">
      <c r="D199" s="9" t="s">
        <v>1486</v>
      </c>
      <c r="E199" s="9" t="s">
        <v>2291</v>
      </c>
      <c r="F199" s="4" t="s">
        <v>708</v>
      </c>
      <c r="G199" s="9" t="s">
        <v>2604</v>
      </c>
      <c r="H199" s="138">
        <v>331329.64264655975</v>
      </c>
      <c r="I199" s="139">
        <v>10714.122755548164</v>
      </c>
      <c r="J199" s="139">
        <v>184848.25812457516</v>
      </c>
      <c r="K199" s="139">
        <v>123890.54602414582</v>
      </c>
      <c r="L199" s="139">
        <f t="shared" si="27"/>
        <v>516177.90077113488</v>
      </c>
      <c r="M199" s="140">
        <f t="shared" si="28"/>
        <v>134604.66877969398</v>
      </c>
      <c r="N199" s="21">
        <f>INDEX('CHIRP Payment Calc'!AM:AM,MATCH(F:F,'CHIRP Payment Calc'!C:C,0))</f>
        <v>0.27</v>
      </c>
      <c r="O199" s="141">
        <f>INDEX('CHIRP Payment Calc'!AL:AL,MATCH(F:F,'CHIRP Payment Calc'!C:C,0))</f>
        <v>0.19</v>
      </c>
      <c r="P199" s="138">
        <f t="shared" si="29"/>
        <v>164942.9202763483</v>
      </c>
      <c r="Q199" s="139">
        <f t="shared" si="30"/>
        <v>10270.089084634779</v>
      </c>
      <c r="R199" s="139">
        <f t="shared" si="31"/>
        <v>94916.714604319495</v>
      </c>
      <c r="S199" s="139">
        <f t="shared" si="32"/>
        <v>53094.712440037554</v>
      </c>
      <c r="T199" s="139">
        <f t="shared" si="33"/>
        <v>2159.8762053624946</v>
      </c>
      <c r="U199" s="139">
        <f t="shared" si="34"/>
        <v>25041.706111263517</v>
      </c>
      <c r="V199" s="140">
        <f t="shared" si="35"/>
        <v>175213.00936098307</v>
      </c>
    </row>
    <row r="200" spans="4:22">
      <c r="D200" s="9" t="s">
        <v>1486</v>
      </c>
      <c r="E200" s="9" t="s">
        <v>2291</v>
      </c>
      <c r="F200" s="4" t="s">
        <v>805</v>
      </c>
      <c r="G200" s="9" t="s">
        <v>2785</v>
      </c>
      <c r="H200" s="138">
        <v>869169.15311797324</v>
      </c>
      <c r="I200" s="139">
        <v>74901.106317517799</v>
      </c>
      <c r="J200" s="139">
        <v>445671.6658935725</v>
      </c>
      <c r="K200" s="139">
        <v>49573.496104642894</v>
      </c>
      <c r="L200" s="139">
        <f t="shared" si="27"/>
        <v>1314840.8190115457</v>
      </c>
      <c r="M200" s="140">
        <f t="shared" si="28"/>
        <v>124474.60242216069</v>
      </c>
      <c r="N200" s="21">
        <f>INDEX('CHIRP Payment Calc'!AM:AM,MATCH(F:F,'CHIRP Payment Calc'!C:C,0))</f>
        <v>0.09</v>
      </c>
      <c r="O200" s="141">
        <f>INDEX('CHIRP Payment Calc'!AL:AL,MATCH(F:F,'CHIRP Payment Calc'!C:C,0))</f>
        <v>0.09</v>
      </c>
      <c r="P200" s="138">
        <f t="shared" si="29"/>
        <v>129538.38792903358</v>
      </c>
      <c r="Q200" s="139">
        <f t="shared" si="30"/>
        <v>8028.647247602984</v>
      </c>
      <c r="R200" s="139">
        <f t="shared" si="31"/>
        <v>82997.584913122118</v>
      </c>
      <c r="S200" s="139">
        <f t="shared" si="32"/>
        <v>42670.691415342051</v>
      </c>
      <c r="T200" s="139">
        <f t="shared" si="33"/>
        <v>7152.3602849619119</v>
      </c>
      <c r="U200" s="139">
        <f t="shared" si="34"/>
        <v>4746.3985632104905</v>
      </c>
      <c r="V200" s="140">
        <f t="shared" si="35"/>
        <v>137567.03517663659</v>
      </c>
    </row>
    <row r="201" spans="4:22">
      <c r="D201" s="9" t="s">
        <v>1486</v>
      </c>
      <c r="E201" s="9" t="s">
        <v>2291</v>
      </c>
      <c r="F201" s="4" t="s">
        <v>1184</v>
      </c>
      <c r="G201" s="9" t="s">
        <v>2344</v>
      </c>
      <c r="H201" s="138">
        <v>449006.71884467435</v>
      </c>
      <c r="I201" s="139">
        <v>42027.540829843798</v>
      </c>
      <c r="J201" s="139">
        <v>219791.67320729641</v>
      </c>
      <c r="K201" s="139">
        <v>138964.64798662765</v>
      </c>
      <c r="L201" s="139">
        <f t="shared" si="27"/>
        <v>668798.39205197082</v>
      </c>
      <c r="M201" s="140">
        <f t="shared" si="28"/>
        <v>180992.18881647143</v>
      </c>
      <c r="N201" s="21">
        <f>INDEX('CHIRP Payment Calc'!AM:AM,MATCH(F:F,'CHIRP Payment Calc'!C:C,0))</f>
        <v>0.55000000000000004</v>
      </c>
      <c r="O201" s="141">
        <f>INDEX('CHIRP Payment Calc'!AL:AL,MATCH(F:F,'CHIRP Payment Calc'!C:C,0))</f>
        <v>0.51</v>
      </c>
      <c r="P201" s="138">
        <f t="shared" si="29"/>
        <v>460145.13192498439</v>
      </c>
      <c r="Q201" s="139">
        <f t="shared" si="30"/>
        <v>28613.621375233808</v>
      </c>
      <c r="R201" s="139">
        <f t="shared" si="31"/>
        <v>262019.83593057923</v>
      </c>
      <c r="S201" s="139">
        <f t="shared" si="32"/>
        <v>128601.5109191628</v>
      </c>
      <c r="T201" s="139">
        <f t="shared" si="33"/>
        <v>22741.693181135637</v>
      </c>
      <c r="U201" s="139">
        <f t="shared" si="34"/>
        <v>75395.713269340529</v>
      </c>
      <c r="V201" s="140">
        <f t="shared" si="35"/>
        <v>488758.75330021814</v>
      </c>
    </row>
    <row r="202" spans="4:22">
      <c r="D202" s="9" t="s">
        <v>1486</v>
      </c>
      <c r="E202" s="9" t="s">
        <v>2291</v>
      </c>
      <c r="F202" s="4" t="s">
        <v>1108</v>
      </c>
      <c r="G202" s="9" t="s">
        <v>2611</v>
      </c>
      <c r="H202" s="138">
        <v>1725644.2643545798</v>
      </c>
      <c r="I202" s="139">
        <v>665374.66246226779</v>
      </c>
      <c r="J202" s="139">
        <v>426059.81654762017</v>
      </c>
      <c r="K202" s="139">
        <v>325101.47093827429</v>
      </c>
      <c r="L202" s="139">
        <f t="shared" si="27"/>
        <v>2151704.0809022002</v>
      </c>
      <c r="M202" s="140">
        <f t="shared" si="28"/>
        <v>990476.13340054208</v>
      </c>
      <c r="N202" s="21">
        <f>INDEX('CHIRP Payment Calc'!AM:AM,MATCH(F:F,'CHIRP Payment Calc'!C:C,0))</f>
        <v>0.42000000000000004</v>
      </c>
      <c r="O202" s="141">
        <f>INDEX('CHIRP Payment Calc'!AL:AL,MATCH(F:F,'CHIRP Payment Calc'!C:C,0))</f>
        <v>0.43000000000000005</v>
      </c>
      <c r="P202" s="138">
        <f t="shared" si="29"/>
        <v>1329620.4513411573</v>
      </c>
      <c r="Q202" s="139">
        <f t="shared" si="30"/>
        <v>82016.854544413567</v>
      </c>
      <c r="R202" s="139">
        <f t="shared" si="31"/>
        <v>768987.36448692158</v>
      </c>
      <c r="S202" s="139">
        <f t="shared" si="32"/>
        <v>190367.15207446861</v>
      </c>
      <c r="T202" s="139">
        <f t="shared" si="33"/>
        <v>303566.15900135296</v>
      </c>
      <c r="U202" s="139">
        <f t="shared" si="34"/>
        <v>148716.63032282764</v>
      </c>
      <c r="V202" s="140">
        <f t="shared" si="35"/>
        <v>1411637.3058855708</v>
      </c>
    </row>
    <row r="203" spans="4:22">
      <c r="D203" s="9" t="s">
        <v>1486</v>
      </c>
      <c r="E203" s="9" t="s">
        <v>2291</v>
      </c>
      <c r="F203" s="4" t="s">
        <v>1485</v>
      </c>
      <c r="G203" s="9" t="s">
        <v>2990</v>
      </c>
      <c r="H203" s="138">
        <v>106154.51232008402</v>
      </c>
      <c r="I203" s="139">
        <v>1258479.9174731388</v>
      </c>
      <c r="J203" s="139">
        <v>52544.621366014049</v>
      </c>
      <c r="K203" s="139">
        <v>228267.14070966156</v>
      </c>
      <c r="L203" s="139">
        <f t="shared" si="27"/>
        <v>158699.13368609807</v>
      </c>
      <c r="M203" s="140">
        <f t="shared" si="28"/>
        <v>1486747.0581828004</v>
      </c>
      <c r="N203" s="21">
        <f>INDEX('CHIRP Payment Calc'!AM:AM,MATCH(F:F,'CHIRP Payment Calc'!C:C,0))</f>
        <v>0.86</v>
      </c>
      <c r="O203" s="141">
        <f>INDEX('CHIRP Payment Calc'!AL:AL,MATCH(F:F,'CHIRP Payment Calc'!C:C,0))</f>
        <v>0.13</v>
      </c>
      <c r="P203" s="138">
        <f t="shared" si="29"/>
        <v>329758.3725338084</v>
      </c>
      <c r="Q203" s="139">
        <f t="shared" si="30"/>
        <v>20329.135721112834</v>
      </c>
      <c r="R203" s="139">
        <f t="shared" si="31"/>
        <v>96862.472780129712</v>
      </c>
      <c r="S203" s="139">
        <f t="shared" si="32"/>
        <v>48072.738696566048</v>
      </c>
      <c r="T203" s="139">
        <f t="shared" si="33"/>
        <v>173583.43689284674</v>
      </c>
      <c r="U203" s="139">
        <f t="shared" si="34"/>
        <v>31568.859885378726</v>
      </c>
      <c r="V203" s="140">
        <f t="shared" si="35"/>
        <v>350087.50825492124</v>
      </c>
    </row>
    <row r="204" spans="4:22">
      <c r="D204" s="9" t="s">
        <v>1486</v>
      </c>
      <c r="E204" s="9" t="s">
        <v>2291</v>
      </c>
      <c r="F204" s="4" t="s">
        <v>796</v>
      </c>
      <c r="G204" s="9" t="s">
        <v>2920</v>
      </c>
      <c r="H204" s="138">
        <v>226200.80721148761</v>
      </c>
      <c r="I204" s="139">
        <v>15973.516894212955</v>
      </c>
      <c r="J204" s="139">
        <v>49810.936587098819</v>
      </c>
      <c r="K204" s="139">
        <v>8773.9122665481118</v>
      </c>
      <c r="L204" s="139">
        <f t="shared" si="27"/>
        <v>276011.74379858642</v>
      </c>
      <c r="M204" s="140">
        <f t="shared" si="28"/>
        <v>24747.429160761065</v>
      </c>
      <c r="N204" s="21">
        <f>INDEX('CHIRP Payment Calc'!AM:AM,MATCH(F:F,'CHIRP Payment Calc'!C:C,0))</f>
        <v>0.09</v>
      </c>
      <c r="O204" s="141">
        <f>INDEX('CHIRP Payment Calc'!AL:AL,MATCH(F:F,'CHIRP Payment Calc'!C:C,0))</f>
        <v>0.09</v>
      </c>
      <c r="P204" s="138">
        <f t="shared" si="29"/>
        <v>27068.325566341271</v>
      </c>
      <c r="Q204" s="139">
        <f t="shared" si="30"/>
        <v>1666.2617392096804</v>
      </c>
      <c r="R204" s="139">
        <f t="shared" si="31"/>
        <v>21600.077081203061</v>
      </c>
      <c r="S204" s="139">
        <f t="shared" si="32"/>
        <v>4769.1322264243554</v>
      </c>
      <c r="T204" s="139">
        <f t="shared" si="33"/>
        <v>1525.3225681476561</v>
      </c>
      <c r="U204" s="139">
        <f t="shared" si="34"/>
        <v>840.055429775883</v>
      </c>
      <c r="V204" s="140">
        <f t="shared" si="35"/>
        <v>28734.587305550955</v>
      </c>
    </row>
    <row r="205" spans="4:22">
      <c r="D205" s="9" t="s">
        <v>1486</v>
      </c>
      <c r="E205" s="9" t="s">
        <v>2950</v>
      </c>
      <c r="F205" s="4" t="s">
        <v>2319</v>
      </c>
      <c r="G205" s="9" t="s">
        <v>2882</v>
      </c>
      <c r="H205" s="138">
        <v>0</v>
      </c>
      <c r="I205" s="139">
        <v>0</v>
      </c>
      <c r="J205" s="139">
        <v>0</v>
      </c>
      <c r="K205" s="139">
        <v>0</v>
      </c>
      <c r="L205" s="139">
        <f t="shared" si="27"/>
        <v>0</v>
      </c>
      <c r="M205" s="140">
        <f t="shared" si="28"/>
        <v>0</v>
      </c>
      <c r="N205" s="21">
        <f>INDEX('CHIRP Payment Calc'!AM:AM,MATCH(F:F,'CHIRP Payment Calc'!C:C,0))</f>
        <v>0</v>
      </c>
      <c r="O205" s="141">
        <f>INDEX('CHIRP Payment Calc'!AL:AL,MATCH(F:F,'CHIRP Payment Calc'!C:C,0))</f>
        <v>0</v>
      </c>
      <c r="P205" s="138">
        <f t="shared" si="29"/>
        <v>0</v>
      </c>
      <c r="Q205" s="139">
        <f t="shared" si="30"/>
        <v>0</v>
      </c>
      <c r="R205" s="139">
        <f t="shared" si="31"/>
        <v>0</v>
      </c>
      <c r="S205" s="139">
        <f t="shared" si="32"/>
        <v>0</v>
      </c>
      <c r="T205" s="139">
        <f t="shared" si="33"/>
        <v>0</v>
      </c>
      <c r="U205" s="139">
        <f t="shared" si="34"/>
        <v>0</v>
      </c>
      <c r="V205" s="140">
        <f t="shared" si="35"/>
        <v>0</v>
      </c>
    </row>
    <row r="206" spans="4:22">
      <c r="D206" s="9" t="s">
        <v>1486</v>
      </c>
      <c r="E206" s="9" t="s">
        <v>2279</v>
      </c>
      <c r="F206" s="4" t="s">
        <v>1491</v>
      </c>
      <c r="G206" s="9" t="s">
        <v>2553</v>
      </c>
      <c r="H206" s="138">
        <v>0</v>
      </c>
      <c r="I206" s="139">
        <v>0</v>
      </c>
      <c r="J206" s="139">
        <v>940.37138560240862</v>
      </c>
      <c r="K206" s="139">
        <v>0</v>
      </c>
      <c r="L206" s="139">
        <f t="shared" si="27"/>
        <v>940.37138560240862</v>
      </c>
      <c r="M206" s="140">
        <f t="shared" si="28"/>
        <v>0</v>
      </c>
      <c r="N206" s="21">
        <f>INDEX('CHIRP Payment Calc'!AM:AM,MATCH(F:F,'CHIRP Payment Calc'!C:C,0))</f>
        <v>0.92</v>
      </c>
      <c r="O206" s="141">
        <f>INDEX('CHIRP Payment Calc'!AL:AL,MATCH(F:F,'CHIRP Payment Calc'!C:C,0))</f>
        <v>0.43</v>
      </c>
      <c r="P206" s="138">
        <f t="shared" si="29"/>
        <v>865.14167475421596</v>
      </c>
      <c r="Q206" s="139">
        <f t="shared" si="30"/>
        <v>55.221809026864854</v>
      </c>
      <c r="R206" s="139">
        <f t="shared" si="31"/>
        <v>0</v>
      </c>
      <c r="S206" s="139">
        <f t="shared" si="32"/>
        <v>920.36348378108084</v>
      </c>
      <c r="T206" s="139">
        <f t="shared" si="33"/>
        <v>0</v>
      </c>
      <c r="U206" s="139">
        <f t="shared" si="34"/>
        <v>0</v>
      </c>
      <c r="V206" s="140">
        <f t="shared" si="35"/>
        <v>920.36348378108084</v>
      </c>
    </row>
    <row r="207" spans="4:22">
      <c r="D207" s="9" t="s">
        <v>1486</v>
      </c>
      <c r="E207" s="9" t="s">
        <v>2279</v>
      </c>
      <c r="F207" s="4" t="s">
        <v>984</v>
      </c>
      <c r="G207" s="9" t="s">
        <v>2445</v>
      </c>
      <c r="H207" s="138">
        <v>2970130.0402241661</v>
      </c>
      <c r="I207" s="139">
        <v>4928619.4781903345</v>
      </c>
      <c r="J207" s="139">
        <v>1472694.5145156684</v>
      </c>
      <c r="K207" s="139">
        <v>3989281.5170702972</v>
      </c>
      <c r="L207" s="139">
        <f t="shared" si="27"/>
        <v>4442824.5547398347</v>
      </c>
      <c r="M207" s="140">
        <f t="shared" si="28"/>
        <v>8917900.9952606317</v>
      </c>
      <c r="N207" s="21">
        <f>INDEX('CHIRP Payment Calc'!AM:AM,MATCH(F:F,'CHIRP Payment Calc'!C:C,0))</f>
        <v>0.92</v>
      </c>
      <c r="O207" s="141">
        <f>INDEX('CHIRP Payment Calc'!AL:AL,MATCH(F:F,'CHIRP Payment Calc'!C:C,0))</f>
        <v>0.91999999999999993</v>
      </c>
      <c r="P207" s="138">
        <f t="shared" si="29"/>
        <v>12291867.506000429</v>
      </c>
      <c r="Q207" s="139">
        <f t="shared" si="30"/>
        <v>764081.47589815548</v>
      </c>
      <c r="R207" s="139">
        <f t="shared" si="31"/>
        <v>2899225.079051706</v>
      </c>
      <c r="S207" s="139">
        <f t="shared" si="32"/>
        <v>1441360.5886749097</v>
      </c>
      <c r="T207" s="139">
        <f t="shared" si="33"/>
        <v>4810960.1272521028</v>
      </c>
      <c r="U207" s="139">
        <f t="shared" si="34"/>
        <v>3904403.1869198652</v>
      </c>
      <c r="V207" s="140">
        <f t="shared" si="35"/>
        <v>13055948.981898583</v>
      </c>
    </row>
    <row r="208" spans="4:22">
      <c r="D208" s="9" t="s">
        <v>1486</v>
      </c>
      <c r="E208" s="9" t="s">
        <v>2279</v>
      </c>
      <c r="F208" s="4" t="s">
        <v>2953</v>
      </c>
      <c r="G208" s="9" t="s">
        <v>2873</v>
      </c>
      <c r="H208" s="138">
        <v>0</v>
      </c>
      <c r="I208" s="139">
        <v>0</v>
      </c>
      <c r="J208" s="139">
        <v>0</v>
      </c>
      <c r="K208" s="139">
        <v>0</v>
      </c>
      <c r="L208" s="139">
        <f t="shared" si="27"/>
        <v>0</v>
      </c>
      <c r="M208" s="140">
        <f t="shared" si="28"/>
        <v>0</v>
      </c>
      <c r="N208" s="21">
        <f>INDEX('CHIRP Payment Calc'!AM:AM,MATCH(F:F,'CHIRP Payment Calc'!C:C,0))</f>
        <v>0.92</v>
      </c>
      <c r="O208" s="141">
        <f>INDEX('CHIRP Payment Calc'!AL:AL,MATCH(F:F,'CHIRP Payment Calc'!C:C,0))</f>
        <v>0.43</v>
      </c>
      <c r="P208" s="138">
        <f t="shared" si="29"/>
        <v>0</v>
      </c>
      <c r="Q208" s="139">
        <f t="shared" si="30"/>
        <v>0</v>
      </c>
      <c r="R208" s="139">
        <f t="shared" si="31"/>
        <v>0</v>
      </c>
      <c r="S208" s="139">
        <f t="shared" si="32"/>
        <v>0</v>
      </c>
      <c r="T208" s="139">
        <f t="shared" si="33"/>
        <v>0</v>
      </c>
      <c r="U208" s="139">
        <f t="shared" si="34"/>
        <v>0</v>
      </c>
      <c r="V208" s="140">
        <f t="shared" si="35"/>
        <v>0</v>
      </c>
    </row>
    <row r="209" spans="4:22">
      <c r="D209" s="9" t="s">
        <v>1486</v>
      </c>
      <c r="E209" s="9" t="s">
        <v>2279</v>
      </c>
      <c r="F209" s="4" t="s">
        <v>1002</v>
      </c>
      <c r="G209" s="9" t="s">
        <v>2849</v>
      </c>
      <c r="H209" s="138">
        <v>3399637.1763595231</v>
      </c>
      <c r="I209" s="139">
        <v>3602539.8427293063</v>
      </c>
      <c r="J209" s="139">
        <v>829315.38960734988</v>
      </c>
      <c r="K209" s="139">
        <v>1024922.1408678633</v>
      </c>
      <c r="L209" s="139">
        <f t="shared" si="27"/>
        <v>4228952.5659668725</v>
      </c>
      <c r="M209" s="140">
        <f t="shared" si="28"/>
        <v>4627461.9835971696</v>
      </c>
      <c r="N209" s="21">
        <f>INDEX('CHIRP Payment Calc'!AM:AM,MATCH(F:F,'CHIRP Payment Calc'!C:C,0))</f>
        <v>0.92</v>
      </c>
      <c r="O209" s="141">
        <f>INDEX('CHIRP Payment Calc'!AL:AL,MATCH(F:F,'CHIRP Payment Calc'!C:C,0))</f>
        <v>0.95</v>
      </c>
      <c r="P209" s="138">
        <f t="shared" si="29"/>
        <v>8286725.245106834</v>
      </c>
      <c r="Q209" s="139">
        <f t="shared" si="30"/>
        <v>510456.70182141481</v>
      </c>
      <c r="R209" s="139">
        <f t="shared" si="31"/>
        <v>3318478.7291785264</v>
      </c>
      <c r="S209" s="139">
        <f t="shared" si="32"/>
        <v>811670.38131783193</v>
      </c>
      <c r="T209" s="139">
        <f t="shared" si="33"/>
        <v>3631207.2685335181</v>
      </c>
      <c r="U209" s="139">
        <f t="shared" si="34"/>
        <v>1035825.5678983724</v>
      </c>
      <c r="V209" s="140">
        <f t="shared" si="35"/>
        <v>8797181.9469282497</v>
      </c>
    </row>
    <row r="210" spans="4:22">
      <c r="D210" s="9" t="s">
        <v>1486</v>
      </c>
      <c r="E210" s="9" t="s">
        <v>2279</v>
      </c>
      <c r="F210" s="4" t="s">
        <v>1011</v>
      </c>
      <c r="G210" s="9" t="s">
        <v>2854</v>
      </c>
      <c r="H210" s="138">
        <v>22293747.952317338</v>
      </c>
      <c r="I210" s="139">
        <v>37394380.441391408</v>
      </c>
      <c r="J210" s="139">
        <v>9398908.1139444113</v>
      </c>
      <c r="K210" s="139">
        <v>15711433.43953198</v>
      </c>
      <c r="L210" s="139">
        <f t="shared" si="27"/>
        <v>31692656.06626175</v>
      </c>
      <c r="M210" s="140">
        <f t="shared" si="28"/>
        <v>53105813.88092339</v>
      </c>
      <c r="N210" s="21">
        <f>INDEX('CHIRP Payment Calc'!AM:AM,MATCH(F:F,'CHIRP Payment Calc'!C:C,0))</f>
        <v>0.92</v>
      </c>
      <c r="O210" s="141">
        <f>INDEX('CHIRP Payment Calc'!AL:AL,MATCH(F:F,'CHIRP Payment Calc'!C:C,0))</f>
        <v>0.88</v>
      </c>
      <c r="P210" s="138">
        <f t="shared" si="29"/>
        <v>75890359.796173394</v>
      </c>
      <c r="Q210" s="139">
        <f t="shared" si="30"/>
        <v>4693330.9884442855</v>
      </c>
      <c r="R210" s="139">
        <f t="shared" si="31"/>
        <v>21761536.462739471</v>
      </c>
      <c r="S210" s="139">
        <f t="shared" si="32"/>
        <v>9198931.3455626164</v>
      </c>
      <c r="T210" s="139">
        <f t="shared" si="33"/>
        <v>34914646.990370758</v>
      </c>
      <c r="U210" s="139">
        <f t="shared" si="34"/>
        <v>14708575.985944834</v>
      </c>
      <c r="V210" s="140">
        <f t="shared" si="35"/>
        <v>80583690.784617677</v>
      </c>
    </row>
    <row r="211" spans="4:22">
      <c r="D211" s="9" t="s">
        <v>1486</v>
      </c>
      <c r="E211" s="9" t="s">
        <v>2279</v>
      </c>
      <c r="F211" s="4" t="s">
        <v>887</v>
      </c>
      <c r="G211" s="9" t="s">
        <v>2926</v>
      </c>
      <c r="H211" s="138">
        <v>3538801.2502459227</v>
      </c>
      <c r="I211" s="139">
        <v>5715699.0314547047</v>
      </c>
      <c r="J211" s="139">
        <v>829497.07496356475</v>
      </c>
      <c r="K211" s="139">
        <v>1971116.1992369725</v>
      </c>
      <c r="L211" s="139">
        <f t="shared" si="27"/>
        <v>4368298.3252094872</v>
      </c>
      <c r="M211" s="140">
        <f t="shared" si="28"/>
        <v>7686815.230691677</v>
      </c>
      <c r="N211" s="21">
        <f>INDEX('CHIRP Payment Calc'!AM:AM,MATCH(F:F,'CHIRP Payment Calc'!C:C,0))</f>
        <v>0.92</v>
      </c>
      <c r="O211" s="141">
        <f>INDEX('CHIRP Payment Calc'!AL:AL,MATCH(F:F,'CHIRP Payment Calc'!C:C,0))</f>
        <v>0.83000000000000007</v>
      </c>
      <c r="P211" s="138">
        <f t="shared" si="29"/>
        <v>10398891.100666821</v>
      </c>
      <c r="Q211" s="139">
        <f t="shared" si="30"/>
        <v>641185.1384128615</v>
      </c>
      <c r="R211" s="139">
        <f t="shared" si="31"/>
        <v>3454320.583794429</v>
      </c>
      <c r="S211" s="139">
        <f t="shared" si="32"/>
        <v>811848.20102816983</v>
      </c>
      <c r="T211" s="139">
        <f t="shared" si="33"/>
        <v>5033453.7889733743</v>
      </c>
      <c r="U211" s="139">
        <f t="shared" si="34"/>
        <v>1740453.66528371</v>
      </c>
      <c r="V211" s="140">
        <f t="shared" si="35"/>
        <v>11040076.239079684</v>
      </c>
    </row>
    <row r="212" spans="4:22">
      <c r="D212" s="9" t="s">
        <v>1486</v>
      </c>
      <c r="E212" s="9" t="s">
        <v>2279</v>
      </c>
      <c r="F212" s="4" t="s">
        <v>751</v>
      </c>
      <c r="G212" s="9" t="s">
        <v>2658</v>
      </c>
      <c r="H212" s="138">
        <v>4089821.8478348134</v>
      </c>
      <c r="I212" s="139">
        <v>3416778.5144164828</v>
      </c>
      <c r="J212" s="139">
        <v>852787.52072077908</v>
      </c>
      <c r="K212" s="139">
        <v>824456.87809581705</v>
      </c>
      <c r="L212" s="139">
        <f t="shared" si="27"/>
        <v>4942609.3685555924</v>
      </c>
      <c r="M212" s="140">
        <f t="shared" si="28"/>
        <v>4241235.3925123001</v>
      </c>
      <c r="N212" s="21">
        <f>INDEX('CHIRP Payment Calc'!AM:AM,MATCH(F:F,'CHIRP Payment Calc'!C:C,0))</f>
        <v>0.92</v>
      </c>
      <c r="O212" s="141">
        <f>INDEX('CHIRP Payment Calc'!AL:AL,MATCH(F:F,'CHIRP Payment Calc'!C:C,0))</f>
        <v>0.94</v>
      </c>
      <c r="P212" s="138">
        <f t="shared" si="29"/>
        <v>8533961.8880327083</v>
      </c>
      <c r="Q212" s="139">
        <f t="shared" si="30"/>
        <v>525040.38039319462</v>
      </c>
      <c r="R212" s="139">
        <f t="shared" si="31"/>
        <v>3992186.843509844</v>
      </c>
      <c r="S212" s="139">
        <f t="shared" si="32"/>
        <v>834643.10538629454</v>
      </c>
      <c r="T212" s="139">
        <f t="shared" si="33"/>
        <v>3407715.4414339457</v>
      </c>
      <c r="U212" s="139">
        <f t="shared" si="34"/>
        <v>824456.87809581705</v>
      </c>
      <c r="V212" s="140">
        <f t="shared" si="35"/>
        <v>9059002.2684259024</v>
      </c>
    </row>
    <row r="213" spans="4:22">
      <c r="D213" s="9" t="s">
        <v>1486</v>
      </c>
      <c r="E213" s="9" t="s">
        <v>2279</v>
      </c>
      <c r="F213" s="4" t="s">
        <v>757</v>
      </c>
      <c r="G213" s="9" t="s">
        <v>2850</v>
      </c>
      <c r="H213" s="138">
        <v>3315155.9976258781</v>
      </c>
      <c r="I213" s="139">
        <v>11665550.01536244</v>
      </c>
      <c r="J213" s="139">
        <v>2326226.3273759014</v>
      </c>
      <c r="K213" s="139">
        <v>3437006.6078652893</v>
      </c>
      <c r="L213" s="139">
        <f t="shared" si="27"/>
        <v>5641382.3250017799</v>
      </c>
      <c r="M213" s="140">
        <f t="shared" si="28"/>
        <v>15102556.623227729</v>
      </c>
      <c r="N213" s="21">
        <f>INDEX('CHIRP Payment Calc'!AM:AM,MATCH(F:F,'CHIRP Payment Calc'!C:C,0))</f>
        <v>0.92</v>
      </c>
      <c r="O213" s="141">
        <f>INDEX('CHIRP Payment Calc'!AL:AL,MATCH(F:F,'CHIRP Payment Calc'!C:C,0))</f>
        <v>1.05</v>
      </c>
      <c r="P213" s="138">
        <f t="shared" si="29"/>
        <v>21047756.193390753</v>
      </c>
      <c r="Q213" s="139">
        <f t="shared" si="30"/>
        <v>1300303.2734932911</v>
      </c>
      <c r="R213" s="139">
        <f t="shared" si="31"/>
        <v>3236014.342510141</v>
      </c>
      <c r="S213" s="139">
        <f t="shared" si="32"/>
        <v>2276732.1501976908</v>
      </c>
      <c r="T213" s="139">
        <f t="shared" si="33"/>
        <v>12996103.465390516</v>
      </c>
      <c r="U213" s="139">
        <f t="shared" si="34"/>
        <v>3839209.5087856958</v>
      </c>
      <c r="V213" s="140">
        <f t="shared" si="35"/>
        <v>22348059.466884043</v>
      </c>
    </row>
    <row r="214" spans="4:22">
      <c r="D214" s="9" t="s">
        <v>1486</v>
      </c>
      <c r="E214" s="9" t="s">
        <v>2279</v>
      </c>
      <c r="F214" s="4" t="s">
        <v>1512</v>
      </c>
      <c r="G214" s="9" t="s">
        <v>2633</v>
      </c>
      <c r="H214" s="138">
        <v>0</v>
      </c>
      <c r="I214" s="139">
        <v>69043.68297247868</v>
      </c>
      <c r="J214" s="139">
        <v>0</v>
      </c>
      <c r="K214" s="139">
        <v>219475.83275393368</v>
      </c>
      <c r="L214" s="139">
        <f t="shared" si="27"/>
        <v>0</v>
      </c>
      <c r="M214" s="140">
        <f t="shared" si="28"/>
        <v>288519.51572641236</v>
      </c>
      <c r="N214" s="21">
        <f>INDEX('CHIRP Payment Calc'!AM:AM,MATCH(F:F,'CHIRP Payment Calc'!C:C,0))</f>
        <v>0.92</v>
      </c>
      <c r="O214" s="141">
        <f>INDEX('CHIRP Payment Calc'!AL:AL,MATCH(F:F,'CHIRP Payment Calc'!C:C,0))</f>
        <v>0.43</v>
      </c>
      <c r="P214" s="138">
        <f t="shared" si="29"/>
        <v>124063.39176235731</v>
      </c>
      <c r="Q214" s="139">
        <f t="shared" si="30"/>
        <v>7835.1632089462073</v>
      </c>
      <c r="R214" s="139">
        <f t="shared" si="31"/>
        <v>0</v>
      </c>
      <c r="S214" s="139">
        <f t="shared" si="32"/>
        <v>0</v>
      </c>
      <c r="T214" s="139">
        <f t="shared" si="33"/>
        <v>31500.035732801942</v>
      </c>
      <c r="U214" s="139">
        <f t="shared" si="34"/>
        <v>100398.51923850158</v>
      </c>
      <c r="V214" s="140">
        <f t="shared" si="35"/>
        <v>131898.55497130353</v>
      </c>
    </row>
    <row r="215" spans="4:22">
      <c r="D215" s="9" t="s">
        <v>1486</v>
      </c>
      <c r="E215" s="9" t="s">
        <v>2279</v>
      </c>
      <c r="F215" s="4" t="s">
        <v>996</v>
      </c>
      <c r="G215" s="9" t="s">
        <v>2991</v>
      </c>
      <c r="H215" s="138">
        <v>2991088.4381975466</v>
      </c>
      <c r="I215" s="139">
        <v>7592440.9399061278</v>
      </c>
      <c r="J215" s="139">
        <v>1867378.3057347173</v>
      </c>
      <c r="K215" s="139">
        <v>4730593.7087799469</v>
      </c>
      <c r="L215" s="139">
        <f t="shared" si="27"/>
        <v>4858466.7439322639</v>
      </c>
      <c r="M215" s="140">
        <f t="shared" si="28"/>
        <v>12323034.648686074</v>
      </c>
      <c r="N215" s="21">
        <f>INDEX('CHIRP Payment Calc'!AM:AM,MATCH(F:F,'CHIRP Payment Calc'!C:C,0))</f>
        <v>0.92</v>
      </c>
      <c r="O215" s="141">
        <f>INDEX('CHIRP Payment Calc'!AL:AL,MATCH(F:F,'CHIRP Payment Calc'!C:C,0))</f>
        <v>0.7</v>
      </c>
      <c r="P215" s="138">
        <f t="shared" si="29"/>
        <v>13095913.658497933</v>
      </c>
      <c r="Q215" s="139">
        <f t="shared" si="30"/>
        <v>813147.06511131348</v>
      </c>
      <c r="R215" s="139">
        <f t="shared" si="31"/>
        <v>2919683.1439169687</v>
      </c>
      <c r="S215" s="139">
        <f t="shared" si="32"/>
        <v>1827646.8524212129</v>
      </c>
      <c r="T215" s="139">
        <f t="shared" si="33"/>
        <v>5638948.178179617</v>
      </c>
      <c r="U215" s="139">
        <f t="shared" si="34"/>
        <v>3522782.5490914499</v>
      </c>
      <c r="V215" s="140">
        <f t="shared" si="35"/>
        <v>13909060.72360925</v>
      </c>
    </row>
    <row r="216" spans="4:22">
      <c r="D216" s="9" t="s">
        <v>310</v>
      </c>
      <c r="E216" s="9" t="s">
        <v>2291</v>
      </c>
      <c r="F216" s="4" t="s">
        <v>597</v>
      </c>
      <c r="G216" s="9" t="s">
        <v>2906</v>
      </c>
      <c r="H216" s="138">
        <v>2239368.5954466551</v>
      </c>
      <c r="I216" s="139">
        <v>3329091.3125009174</v>
      </c>
      <c r="J216" s="139">
        <v>548413.88074695924</v>
      </c>
      <c r="K216" s="139">
        <v>745208.05255818076</v>
      </c>
      <c r="L216" s="139">
        <f t="shared" si="27"/>
        <v>2787782.4761936143</v>
      </c>
      <c r="M216" s="140">
        <f t="shared" si="28"/>
        <v>4074299.3650590982</v>
      </c>
      <c r="N216" s="21">
        <f>INDEX('CHIRP Payment Calc'!AM:AM,MATCH(F:F,'CHIRP Payment Calc'!C:C,0))</f>
        <v>0.59</v>
      </c>
      <c r="O216" s="141">
        <f>INDEX('CHIRP Payment Calc'!AL:AL,MATCH(F:F,'CHIRP Payment Calc'!C:C,0))</f>
        <v>0.33</v>
      </c>
      <c r="P216" s="138">
        <f t="shared" si="29"/>
        <v>2989310.4514237349</v>
      </c>
      <c r="Q216" s="139">
        <f t="shared" si="30"/>
        <v>183978.70874983369</v>
      </c>
      <c r="R216" s="139">
        <f t="shared" si="31"/>
        <v>1401832.8608101078</v>
      </c>
      <c r="S216" s="139">
        <f t="shared" si="32"/>
        <v>344217.22302202758</v>
      </c>
      <c r="T216" s="139">
        <f t="shared" si="33"/>
        <v>1165623.4834220719</v>
      </c>
      <c r="U216" s="139">
        <f t="shared" si="34"/>
        <v>261615.59291936137</v>
      </c>
      <c r="V216" s="140">
        <f t="shared" si="35"/>
        <v>3173289.1601735684</v>
      </c>
    </row>
    <row r="217" spans="4:22">
      <c r="D217" s="9" t="s">
        <v>310</v>
      </c>
      <c r="E217" s="9" t="s">
        <v>2291</v>
      </c>
      <c r="F217" s="4" t="s">
        <v>1337</v>
      </c>
      <c r="G217" s="9" t="s">
        <v>2884</v>
      </c>
      <c r="H217" s="138">
        <v>1950674.737942874</v>
      </c>
      <c r="I217" s="139">
        <v>4116890.672544478</v>
      </c>
      <c r="J217" s="139">
        <v>559186.49393308815</v>
      </c>
      <c r="K217" s="139">
        <v>1310152.901924242</v>
      </c>
      <c r="L217" s="139">
        <f t="shared" si="27"/>
        <v>2509861.2318759621</v>
      </c>
      <c r="M217" s="140">
        <f t="shared" si="28"/>
        <v>5427043.5744687198</v>
      </c>
      <c r="N217" s="21">
        <f>INDEX('CHIRP Payment Calc'!AM:AM,MATCH(F:F,'CHIRP Payment Calc'!C:C,0))</f>
        <v>1.1499999999999999</v>
      </c>
      <c r="O217" s="141">
        <f>INDEX('CHIRP Payment Calc'!AL:AL,MATCH(F:F,'CHIRP Payment Calc'!C:C,0))</f>
        <v>0.11</v>
      </c>
      <c r="P217" s="138">
        <f t="shared" si="29"/>
        <v>3483315.2098489152</v>
      </c>
      <c r="Q217" s="139">
        <f t="shared" si="30"/>
        <v>214731.23800487688</v>
      </c>
      <c r="R217" s="139">
        <f t="shared" si="31"/>
        <v>2380133.6325032413</v>
      </c>
      <c r="S217" s="139">
        <f t="shared" si="32"/>
        <v>684111.13619473542</v>
      </c>
      <c r="T217" s="139">
        <f t="shared" si="33"/>
        <v>480485.91403702134</v>
      </c>
      <c r="U217" s="139">
        <f t="shared" si="34"/>
        <v>153315.76511879428</v>
      </c>
      <c r="V217" s="140">
        <f t="shared" si="35"/>
        <v>3698046.4478537925</v>
      </c>
    </row>
    <row r="218" spans="4:22">
      <c r="D218" s="9" t="s">
        <v>310</v>
      </c>
      <c r="E218" s="9" t="s">
        <v>2291</v>
      </c>
      <c r="F218" s="4" t="s">
        <v>1478</v>
      </c>
      <c r="G218" s="9" t="s">
        <v>2718</v>
      </c>
      <c r="H218" s="138">
        <v>317236.75970872014</v>
      </c>
      <c r="I218" s="139">
        <v>1279115.6596172913</v>
      </c>
      <c r="J218" s="139">
        <v>22144.94245447942</v>
      </c>
      <c r="K218" s="139">
        <v>363762.12269811629</v>
      </c>
      <c r="L218" s="139">
        <f t="shared" si="27"/>
        <v>339381.70216319954</v>
      </c>
      <c r="M218" s="140">
        <f t="shared" si="28"/>
        <v>1642877.7823154076</v>
      </c>
      <c r="N218" s="21">
        <f>INDEX('CHIRP Payment Calc'!AM:AM,MATCH(F:F,'CHIRP Payment Calc'!C:C,0))</f>
        <v>0.3</v>
      </c>
      <c r="O218" s="141">
        <f>INDEX('CHIRP Payment Calc'!AL:AL,MATCH(F:F,'CHIRP Payment Calc'!C:C,0))</f>
        <v>0.03</v>
      </c>
      <c r="P218" s="138">
        <f t="shared" si="29"/>
        <v>151100.84411842207</v>
      </c>
      <c r="Q218" s="139">
        <f t="shared" si="30"/>
        <v>9267.8949045024347</v>
      </c>
      <c r="R218" s="139">
        <f t="shared" si="31"/>
        <v>100977.21794442019</v>
      </c>
      <c r="S218" s="139">
        <f t="shared" si="32"/>
        <v>7067.5348258976874</v>
      </c>
      <c r="T218" s="139">
        <f t="shared" si="33"/>
        <v>40714.556804794418</v>
      </c>
      <c r="U218" s="139">
        <f t="shared" si="34"/>
        <v>11609.429447812223</v>
      </c>
      <c r="V218" s="140">
        <f t="shared" si="35"/>
        <v>160368.73902292454</v>
      </c>
    </row>
    <row r="219" spans="4:22">
      <c r="D219" s="9" t="s">
        <v>310</v>
      </c>
      <c r="E219" s="9" t="s">
        <v>2291</v>
      </c>
      <c r="F219" s="4" t="s">
        <v>1643</v>
      </c>
      <c r="G219" s="9" t="s">
        <v>2434</v>
      </c>
      <c r="H219" s="138">
        <v>1825119.1737904586</v>
      </c>
      <c r="I219" s="139">
        <v>3875495.6780558298</v>
      </c>
      <c r="J219" s="139">
        <v>307248.24377613422</v>
      </c>
      <c r="K219" s="139">
        <v>492758.55795924424</v>
      </c>
      <c r="L219" s="139">
        <f t="shared" si="27"/>
        <v>2132367.4175665928</v>
      </c>
      <c r="M219" s="140">
        <f t="shared" si="28"/>
        <v>4368254.236015074</v>
      </c>
      <c r="N219" s="21">
        <f>INDEX('CHIRP Payment Calc'!AM:AM,MATCH(F:F,'CHIRP Payment Calc'!C:C,0))</f>
        <v>0.98</v>
      </c>
      <c r="O219" s="141">
        <f>INDEX('CHIRP Payment Calc'!AL:AL,MATCH(F:F,'CHIRP Payment Calc'!C:C,0))</f>
        <v>0.11</v>
      </c>
      <c r="P219" s="138">
        <f t="shared" si="29"/>
        <v>2570228.0351769188</v>
      </c>
      <c r="Q219" s="139">
        <f t="shared" si="30"/>
        <v>157806.97793555257</v>
      </c>
      <c r="R219" s="139">
        <f t="shared" si="31"/>
        <v>1897736.6475486995</v>
      </c>
      <c r="S219" s="139">
        <f t="shared" si="32"/>
        <v>320322.63712831016</v>
      </c>
      <c r="T219" s="139">
        <f t="shared" si="33"/>
        <v>452312.4929295929</v>
      </c>
      <c r="U219" s="139">
        <f t="shared" si="34"/>
        <v>57663.235505869008</v>
      </c>
      <c r="V219" s="140">
        <f t="shared" si="35"/>
        <v>2728035.0131124714</v>
      </c>
    </row>
    <row r="220" spans="4:22">
      <c r="D220" s="9" t="s">
        <v>310</v>
      </c>
      <c r="E220" s="9" t="s">
        <v>2291</v>
      </c>
      <c r="F220" s="4" t="s">
        <v>1289</v>
      </c>
      <c r="G220" s="9" t="s">
        <v>2843</v>
      </c>
      <c r="H220" s="138">
        <v>2025650.3386373606</v>
      </c>
      <c r="I220" s="139">
        <v>5383205.791704312</v>
      </c>
      <c r="J220" s="139">
        <v>434372.8998956398</v>
      </c>
      <c r="K220" s="139">
        <v>555557.85787786893</v>
      </c>
      <c r="L220" s="139">
        <f t="shared" si="27"/>
        <v>2460023.2385330005</v>
      </c>
      <c r="M220" s="140">
        <f t="shared" si="28"/>
        <v>5938763.6495821811</v>
      </c>
      <c r="N220" s="21">
        <f>INDEX('CHIRP Payment Calc'!AM:AM,MATCH(F:F,'CHIRP Payment Calc'!C:C,0))</f>
        <v>0.77</v>
      </c>
      <c r="O220" s="141">
        <f>INDEX('CHIRP Payment Calc'!AL:AL,MATCH(F:F,'CHIRP Payment Calc'!C:C,0))</f>
        <v>7.0000000000000007E-2</v>
      </c>
      <c r="P220" s="138">
        <f t="shared" si="29"/>
        <v>2309931.3491411633</v>
      </c>
      <c r="Q220" s="139">
        <f t="shared" si="30"/>
        <v>141977.74127039631</v>
      </c>
      <c r="R220" s="139">
        <f t="shared" si="31"/>
        <v>1654907.9689663318</v>
      </c>
      <c r="S220" s="139">
        <f t="shared" si="32"/>
        <v>355816.09885068366</v>
      </c>
      <c r="T220" s="139">
        <f t="shared" si="33"/>
        <v>399813.69275257492</v>
      </c>
      <c r="U220" s="139">
        <f t="shared" si="34"/>
        <v>41371.329841968967</v>
      </c>
      <c r="V220" s="140">
        <f t="shared" si="35"/>
        <v>2451909.0904115597</v>
      </c>
    </row>
    <row r="221" spans="4:22">
      <c r="D221" s="9" t="s">
        <v>310</v>
      </c>
      <c r="E221" s="9" t="s">
        <v>2291</v>
      </c>
      <c r="F221" s="4" t="s">
        <v>321</v>
      </c>
      <c r="G221" s="9" t="s">
        <v>2937</v>
      </c>
      <c r="H221" s="138">
        <v>1267295.8146752068</v>
      </c>
      <c r="I221" s="139">
        <v>141531.2512685282</v>
      </c>
      <c r="J221" s="139">
        <v>477864.91208503023</v>
      </c>
      <c r="K221" s="139">
        <v>409362.24915859313</v>
      </c>
      <c r="L221" s="139">
        <f t="shared" si="27"/>
        <v>1745160.726760237</v>
      </c>
      <c r="M221" s="140">
        <f t="shared" si="28"/>
        <v>550893.5004271213</v>
      </c>
      <c r="N221" s="21">
        <f>INDEX('CHIRP Payment Calc'!AM:AM,MATCH(F:F,'CHIRP Payment Calc'!C:C,0))</f>
        <v>0.42</v>
      </c>
      <c r="O221" s="141">
        <f>INDEX('CHIRP Payment Calc'!AL:AL,MATCH(F:F,'CHIRP Payment Calc'!C:C,0))</f>
        <v>0</v>
      </c>
      <c r="P221" s="138">
        <f t="shared" si="29"/>
        <v>732967.5052392995</v>
      </c>
      <c r="Q221" s="139">
        <f t="shared" si="30"/>
        <v>45283.200875753057</v>
      </c>
      <c r="R221" s="139">
        <f t="shared" si="31"/>
        <v>564736.59646003903</v>
      </c>
      <c r="S221" s="139">
        <f t="shared" si="32"/>
        <v>213514.10965501351</v>
      </c>
      <c r="T221" s="139">
        <f t="shared" si="33"/>
        <v>0</v>
      </c>
      <c r="U221" s="139">
        <f t="shared" si="34"/>
        <v>0</v>
      </c>
      <c r="V221" s="140">
        <f t="shared" si="35"/>
        <v>778250.70611505257</v>
      </c>
    </row>
    <row r="222" spans="4:22">
      <c r="D222" s="9" t="s">
        <v>310</v>
      </c>
      <c r="E222" s="9" t="s">
        <v>2291</v>
      </c>
      <c r="F222" s="4" t="s">
        <v>175</v>
      </c>
      <c r="G222" s="9" t="s">
        <v>2935</v>
      </c>
      <c r="H222" s="138">
        <v>2809240.7501069</v>
      </c>
      <c r="I222" s="139">
        <v>5019929.0304776831</v>
      </c>
      <c r="J222" s="139">
        <v>642563.01257513685</v>
      </c>
      <c r="K222" s="139">
        <v>926834.33450394706</v>
      </c>
      <c r="L222" s="139">
        <f t="shared" si="27"/>
        <v>3451803.762682037</v>
      </c>
      <c r="M222" s="140">
        <f t="shared" si="28"/>
        <v>5946763.3649816299</v>
      </c>
      <c r="N222" s="21">
        <f>INDEX('CHIRP Payment Calc'!AM:AM,MATCH(F:F,'CHIRP Payment Calc'!C:C,0))</f>
        <v>0.33999999999999997</v>
      </c>
      <c r="O222" s="141">
        <f>INDEX('CHIRP Payment Calc'!AL:AL,MATCH(F:F,'CHIRP Payment Calc'!C:C,0))</f>
        <v>0</v>
      </c>
      <c r="P222" s="138">
        <f t="shared" si="29"/>
        <v>1173613.2793118923</v>
      </c>
      <c r="Q222" s="139">
        <f t="shared" si="30"/>
        <v>72216.23828375942</v>
      </c>
      <c r="R222" s="139">
        <f t="shared" si="31"/>
        <v>1013413.108791879</v>
      </c>
      <c r="S222" s="139">
        <f t="shared" si="32"/>
        <v>232416.40880377288</v>
      </c>
      <c r="T222" s="139">
        <f t="shared" si="33"/>
        <v>0</v>
      </c>
      <c r="U222" s="139">
        <f t="shared" si="34"/>
        <v>0</v>
      </c>
      <c r="V222" s="140">
        <f t="shared" si="35"/>
        <v>1245829.517595652</v>
      </c>
    </row>
    <row r="223" spans="4:22">
      <c r="D223" s="9" t="s">
        <v>310</v>
      </c>
      <c r="E223" s="9" t="s">
        <v>2291</v>
      </c>
      <c r="F223" s="4" t="s">
        <v>854</v>
      </c>
      <c r="G223" s="9" t="s">
        <v>2992</v>
      </c>
      <c r="H223" s="138">
        <v>2478050.9773964938</v>
      </c>
      <c r="I223" s="139">
        <v>2671662.7768429359</v>
      </c>
      <c r="J223" s="139">
        <v>599581.37179125415</v>
      </c>
      <c r="K223" s="139">
        <v>2243317.3926024162</v>
      </c>
      <c r="L223" s="139">
        <f t="shared" si="27"/>
        <v>3077632.349187748</v>
      </c>
      <c r="M223" s="140">
        <f t="shared" si="28"/>
        <v>4914980.1694453526</v>
      </c>
      <c r="N223" s="21">
        <f>INDEX('CHIRP Payment Calc'!AM:AM,MATCH(F:F,'CHIRP Payment Calc'!C:C,0))</f>
        <v>0.92999999999999994</v>
      </c>
      <c r="O223" s="141">
        <f>INDEX('CHIRP Payment Calc'!AL:AL,MATCH(F:F,'CHIRP Payment Calc'!C:C,0))</f>
        <v>0.05</v>
      </c>
      <c r="P223" s="138">
        <f t="shared" si="29"/>
        <v>3107947.0932168732</v>
      </c>
      <c r="Q223" s="139">
        <f t="shared" si="30"/>
        <v>191499.49969170039</v>
      </c>
      <c r="R223" s="139">
        <f t="shared" si="31"/>
        <v>2445185.5798182907</v>
      </c>
      <c r="S223" s="139">
        <f t="shared" si="32"/>
        <v>593202.84655943222</v>
      </c>
      <c r="T223" s="139">
        <f t="shared" si="33"/>
        <v>141732.77330731758</v>
      </c>
      <c r="U223" s="139">
        <f t="shared" si="34"/>
        <v>119325.39322353278</v>
      </c>
      <c r="V223" s="140">
        <f t="shared" si="35"/>
        <v>3299446.5929085733</v>
      </c>
    </row>
    <row r="224" spans="4:22">
      <c r="D224" s="9" t="s">
        <v>310</v>
      </c>
      <c r="E224" s="9" t="s">
        <v>2291</v>
      </c>
      <c r="F224" s="4" t="s">
        <v>357</v>
      </c>
      <c r="G224" s="9" t="s">
        <v>2938</v>
      </c>
      <c r="H224" s="138">
        <v>575077.28627038433</v>
      </c>
      <c r="I224" s="139">
        <v>76776.802245071274</v>
      </c>
      <c r="J224" s="139">
        <v>283012.99873161851</v>
      </c>
      <c r="K224" s="139">
        <v>203933.38767111441</v>
      </c>
      <c r="L224" s="139">
        <f t="shared" si="27"/>
        <v>858090.28500200284</v>
      </c>
      <c r="M224" s="140">
        <f t="shared" si="28"/>
        <v>280710.18991618569</v>
      </c>
      <c r="N224" s="21">
        <f>INDEX('CHIRP Payment Calc'!AM:AM,MATCH(F:F,'CHIRP Payment Calc'!C:C,0))</f>
        <v>0.51</v>
      </c>
      <c r="O224" s="141">
        <f>INDEX('CHIRP Payment Calc'!AL:AL,MATCH(F:F,'CHIRP Payment Calc'!C:C,0))</f>
        <v>0.48</v>
      </c>
      <c r="P224" s="138">
        <f t="shared" si="29"/>
        <v>572366.93651079061</v>
      </c>
      <c r="Q224" s="139">
        <f t="shared" si="30"/>
        <v>35602.454491784396</v>
      </c>
      <c r="R224" s="139">
        <f t="shared" si="31"/>
        <v>311182.40424179949</v>
      </c>
      <c r="S224" s="139">
        <f t="shared" si="32"/>
        <v>153549.60569481432</v>
      </c>
      <c r="T224" s="139">
        <f t="shared" si="33"/>
        <v>39101.183106243196</v>
      </c>
      <c r="U224" s="139">
        <f t="shared" si="34"/>
        <v>104136.197959718</v>
      </c>
      <c r="V224" s="140">
        <f t="shared" si="35"/>
        <v>607969.39100257505</v>
      </c>
    </row>
    <row r="225" spans="4:22">
      <c r="D225" s="9" t="s">
        <v>310</v>
      </c>
      <c r="E225" s="9" t="s">
        <v>2291</v>
      </c>
      <c r="F225" s="4" t="s">
        <v>1181</v>
      </c>
      <c r="G225" s="9" t="s">
        <v>2346</v>
      </c>
      <c r="H225" s="138">
        <v>1758843.6137923214</v>
      </c>
      <c r="I225" s="139">
        <v>8768128.6358812433</v>
      </c>
      <c r="J225" s="139">
        <v>365245.72255452827</v>
      </c>
      <c r="K225" s="139">
        <v>1822468.092104028</v>
      </c>
      <c r="L225" s="139">
        <f t="shared" si="27"/>
        <v>2124089.3363468498</v>
      </c>
      <c r="M225" s="140">
        <f t="shared" si="28"/>
        <v>10590596.72798527</v>
      </c>
      <c r="N225" s="21">
        <f>INDEX('CHIRP Payment Calc'!AM:AM,MATCH(F:F,'CHIRP Payment Calc'!C:C,0))</f>
        <v>0.66999999999999993</v>
      </c>
      <c r="O225" s="141">
        <f>INDEX('CHIRP Payment Calc'!AL:AL,MATCH(F:F,'CHIRP Payment Calc'!C:C,0))</f>
        <v>0.18</v>
      </c>
      <c r="P225" s="138">
        <f t="shared" si="29"/>
        <v>3329447.2663897378</v>
      </c>
      <c r="Q225" s="139">
        <f t="shared" si="30"/>
        <v>204739.00555910717</v>
      </c>
      <c r="R225" s="139">
        <f t="shared" si="31"/>
        <v>1250318.5371255758</v>
      </c>
      <c r="S225" s="139">
        <f t="shared" si="32"/>
        <v>260334.71713992971</v>
      </c>
      <c r="T225" s="139">
        <f t="shared" si="33"/>
        <v>1674549.7660038448</v>
      </c>
      <c r="U225" s="139">
        <f t="shared" si="34"/>
        <v>348983.25167949474</v>
      </c>
      <c r="V225" s="140">
        <f t="shared" si="35"/>
        <v>3534186.2719488451</v>
      </c>
    </row>
    <row r="226" spans="4:22">
      <c r="D226" s="9" t="s">
        <v>310</v>
      </c>
      <c r="E226" s="9" t="s">
        <v>2291</v>
      </c>
      <c r="F226" s="4" t="s">
        <v>50</v>
      </c>
      <c r="G226" s="9" t="s">
        <v>2934</v>
      </c>
      <c r="H226" s="138">
        <v>646773.88463330083</v>
      </c>
      <c r="I226" s="139">
        <v>273170.15841744898</v>
      </c>
      <c r="J226" s="139">
        <v>356725.07990169059</v>
      </c>
      <c r="K226" s="139">
        <v>595746.0839103607</v>
      </c>
      <c r="L226" s="139">
        <f t="shared" si="27"/>
        <v>1003498.9645349914</v>
      </c>
      <c r="M226" s="140">
        <f t="shared" si="28"/>
        <v>868916.24232780968</v>
      </c>
      <c r="N226" s="21">
        <f>INDEX('CHIRP Payment Calc'!AM:AM,MATCH(F:F,'CHIRP Payment Calc'!C:C,0))</f>
        <v>0.73</v>
      </c>
      <c r="O226" s="141">
        <f>INDEX('CHIRP Payment Calc'!AL:AL,MATCH(F:F,'CHIRP Payment Calc'!C:C,0))</f>
        <v>0.03</v>
      </c>
      <c r="P226" s="138">
        <f t="shared" si="29"/>
        <v>758621.73138037801</v>
      </c>
      <c r="Q226" s="139">
        <f t="shared" si="30"/>
        <v>47067.22592496562</v>
      </c>
      <c r="R226" s="139">
        <f t="shared" si="31"/>
        <v>500949.53398653539</v>
      </c>
      <c r="S226" s="139">
        <f t="shared" si="32"/>
        <v>277031.1790725895</v>
      </c>
      <c r="T226" s="139">
        <f t="shared" si="33"/>
        <v>8695.0713554625672</v>
      </c>
      <c r="U226" s="139">
        <f t="shared" si="34"/>
        <v>19013.172890756192</v>
      </c>
      <c r="V226" s="140">
        <f t="shared" si="35"/>
        <v>805688.95730534359</v>
      </c>
    </row>
    <row r="227" spans="4:22">
      <c r="D227" s="9" t="s">
        <v>310</v>
      </c>
      <c r="E227" s="9" t="s">
        <v>2291</v>
      </c>
      <c r="F227" s="4" t="s">
        <v>857</v>
      </c>
      <c r="G227" s="9" t="s">
        <v>2993</v>
      </c>
      <c r="H227" s="138">
        <v>0</v>
      </c>
      <c r="I227" s="139">
        <v>331989.91716488084</v>
      </c>
      <c r="J227" s="139">
        <v>0</v>
      </c>
      <c r="K227" s="139">
        <v>104186.02954906279</v>
      </c>
      <c r="L227" s="139">
        <f t="shared" si="27"/>
        <v>0</v>
      </c>
      <c r="M227" s="140">
        <f t="shared" si="28"/>
        <v>436175.94671394362</v>
      </c>
      <c r="N227" s="21">
        <f>INDEX('CHIRP Payment Calc'!AM:AM,MATCH(F:F,'CHIRP Payment Calc'!C:C,0))</f>
        <v>0.3</v>
      </c>
      <c r="O227" s="141">
        <f>INDEX('CHIRP Payment Calc'!AL:AL,MATCH(F:F,'CHIRP Payment Calc'!C:C,0))</f>
        <v>0</v>
      </c>
      <c r="P227" s="138">
        <f t="shared" si="29"/>
        <v>0</v>
      </c>
      <c r="Q227" s="139">
        <f t="shared" si="30"/>
        <v>0</v>
      </c>
      <c r="R227" s="139">
        <f t="shared" si="31"/>
        <v>0</v>
      </c>
      <c r="S227" s="139">
        <f t="shared" si="32"/>
        <v>0</v>
      </c>
      <c r="T227" s="139">
        <f t="shared" si="33"/>
        <v>0</v>
      </c>
      <c r="U227" s="139">
        <f t="shared" si="34"/>
        <v>0</v>
      </c>
      <c r="V227" s="140">
        <f t="shared" si="35"/>
        <v>0</v>
      </c>
    </row>
    <row r="228" spans="4:22">
      <c r="D228" s="9" t="s">
        <v>310</v>
      </c>
      <c r="E228" s="9" t="s">
        <v>2291</v>
      </c>
      <c r="F228" s="4" t="s">
        <v>902</v>
      </c>
      <c r="G228" s="9" t="s">
        <v>2994</v>
      </c>
      <c r="H228" s="138">
        <v>440523.29814320162</v>
      </c>
      <c r="I228" s="139">
        <v>0</v>
      </c>
      <c r="J228" s="139">
        <v>79991.070390167195</v>
      </c>
      <c r="K228" s="139">
        <v>21762.737835304451</v>
      </c>
      <c r="L228" s="139">
        <f t="shared" si="27"/>
        <v>520514.3685333688</v>
      </c>
      <c r="M228" s="140">
        <f t="shared" si="28"/>
        <v>21762.737835304451</v>
      </c>
      <c r="N228" s="21">
        <f>INDEX('CHIRP Payment Calc'!AM:AM,MATCH(F:F,'CHIRP Payment Calc'!C:C,0))</f>
        <v>0.59</v>
      </c>
      <c r="O228" s="141">
        <f>INDEX('CHIRP Payment Calc'!AL:AL,MATCH(F:F,'CHIRP Payment Calc'!C:C,0))</f>
        <v>0</v>
      </c>
      <c r="P228" s="138">
        <f t="shared" si="29"/>
        <v>307103.47743468761</v>
      </c>
      <c r="Q228" s="139">
        <f t="shared" si="30"/>
        <v>18868.931411671496</v>
      </c>
      <c r="R228" s="139">
        <f t="shared" si="31"/>
        <v>275765.24764402007</v>
      </c>
      <c r="S228" s="139">
        <f t="shared" si="32"/>
        <v>50207.161202338983</v>
      </c>
      <c r="T228" s="139">
        <f t="shared" si="33"/>
        <v>0</v>
      </c>
      <c r="U228" s="139">
        <f t="shared" si="34"/>
        <v>0</v>
      </c>
      <c r="V228" s="140">
        <f t="shared" si="35"/>
        <v>325972.40884635906</v>
      </c>
    </row>
    <row r="229" spans="4:22">
      <c r="D229" s="9" t="s">
        <v>310</v>
      </c>
      <c r="E229" s="9" t="s">
        <v>2291</v>
      </c>
      <c r="F229" s="4" t="s">
        <v>921</v>
      </c>
      <c r="G229" s="9" t="s">
        <v>2326</v>
      </c>
      <c r="H229" s="138">
        <v>115578.56284660852</v>
      </c>
      <c r="I229" s="139">
        <v>7904.6175016676034</v>
      </c>
      <c r="J229" s="139">
        <v>27414.809090736533</v>
      </c>
      <c r="K229" s="139">
        <v>14815.359356177161</v>
      </c>
      <c r="L229" s="139">
        <f t="shared" si="27"/>
        <v>142993.37193734504</v>
      </c>
      <c r="M229" s="140">
        <f t="shared" si="28"/>
        <v>22719.976857844766</v>
      </c>
      <c r="N229" s="21">
        <f>INDEX('CHIRP Payment Calc'!AM:AM,MATCH(F:F,'CHIRP Payment Calc'!C:C,0))</f>
        <v>0.3</v>
      </c>
      <c r="O229" s="141">
        <f>INDEX('CHIRP Payment Calc'!AL:AL,MATCH(F:F,'CHIRP Payment Calc'!C:C,0))</f>
        <v>0.45</v>
      </c>
      <c r="P229" s="138">
        <f t="shared" si="29"/>
        <v>53122.001167233655</v>
      </c>
      <c r="Q229" s="139">
        <f t="shared" si="30"/>
        <v>3282.8856585391177</v>
      </c>
      <c r="R229" s="139">
        <f t="shared" si="31"/>
        <v>36788.932471069027</v>
      </c>
      <c r="S229" s="139">
        <f t="shared" si="32"/>
        <v>8749.4071566180428</v>
      </c>
      <c r="T229" s="139">
        <f t="shared" si="33"/>
        <v>3774.0879318306861</v>
      </c>
      <c r="U229" s="139">
        <f t="shared" si="34"/>
        <v>7092.4592662550249</v>
      </c>
      <c r="V229" s="140">
        <f t="shared" si="35"/>
        <v>56404.886825772781</v>
      </c>
    </row>
    <row r="230" spans="4:22">
      <c r="D230" s="9" t="s">
        <v>310</v>
      </c>
      <c r="E230" s="9" t="s">
        <v>2291</v>
      </c>
      <c r="F230" s="4" t="s">
        <v>905</v>
      </c>
      <c r="G230" s="9" t="s">
        <v>2593</v>
      </c>
      <c r="H230" s="138">
        <v>38631.956501148728</v>
      </c>
      <c r="I230" s="139">
        <v>286.95029681211884</v>
      </c>
      <c r="J230" s="139">
        <v>15273.915093091506</v>
      </c>
      <c r="K230" s="139">
        <v>0</v>
      </c>
      <c r="L230" s="139">
        <f t="shared" si="27"/>
        <v>53905.871594240234</v>
      </c>
      <c r="M230" s="140">
        <f t="shared" si="28"/>
        <v>286.95029681211884</v>
      </c>
      <c r="N230" s="21">
        <f>INDEX('CHIRP Payment Calc'!AM:AM,MATCH(F:F,'CHIRP Payment Calc'!C:C,0))</f>
        <v>0.3</v>
      </c>
      <c r="O230" s="141">
        <f>INDEX('CHIRP Payment Calc'!AL:AL,MATCH(F:F,'CHIRP Payment Calc'!C:C,0))</f>
        <v>0</v>
      </c>
      <c r="P230" s="138">
        <f t="shared" si="29"/>
        <v>16171.76147827207</v>
      </c>
      <c r="Q230" s="139">
        <f t="shared" si="30"/>
        <v>999.53625398772397</v>
      </c>
      <c r="R230" s="139">
        <f t="shared" si="31"/>
        <v>12296.643979145483</v>
      </c>
      <c r="S230" s="139">
        <f t="shared" si="32"/>
        <v>4874.6537531143103</v>
      </c>
      <c r="T230" s="139">
        <f t="shared" si="33"/>
        <v>0</v>
      </c>
      <c r="U230" s="139">
        <f t="shared" si="34"/>
        <v>0</v>
      </c>
      <c r="V230" s="140">
        <f t="shared" si="35"/>
        <v>17171.297732259794</v>
      </c>
    </row>
    <row r="231" spans="4:22">
      <c r="D231" s="9" t="s">
        <v>310</v>
      </c>
      <c r="E231" s="9" t="s">
        <v>2291</v>
      </c>
      <c r="F231" s="4" t="s">
        <v>909</v>
      </c>
      <c r="G231" s="9" t="s">
        <v>2653</v>
      </c>
      <c r="H231" s="138">
        <v>2188107.1231559012</v>
      </c>
      <c r="I231" s="139">
        <v>4196068.5150761055</v>
      </c>
      <c r="J231" s="139">
        <v>562725.2037995389</v>
      </c>
      <c r="K231" s="139">
        <v>1380219.4790143254</v>
      </c>
      <c r="L231" s="139">
        <f t="shared" si="27"/>
        <v>2750832.32695544</v>
      </c>
      <c r="M231" s="140">
        <f t="shared" si="28"/>
        <v>5576287.9940904304</v>
      </c>
      <c r="N231" s="21">
        <f>INDEX('CHIRP Payment Calc'!AM:AM,MATCH(F:F,'CHIRP Payment Calc'!C:C,0))</f>
        <v>0.69</v>
      </c>
      <c r="O231" s="141">
        <f>INDEX('CHIRP Payment Calc'!AL:AL,MATCH(F:F,'CHIRP Payment Calc'!C:C,0))</f>
        <v>0.14000000000000001</v>
      </c>
      <c r="P231" s="138">
        <f t="shared" si="29"/>
        <v>2678754.6247719135</v>
      </c>
      <c r="Q231" s="139">
        <f t="shared" si="30"/>
        <v>165066.27378873658</v>
      </c>
      <c r="R231" s="139">
        <f t="shared" si="31"/>
        <v>1601903.3580663891</v>
      </c>
      <c r="S231" s="139">
        <f t="shared" si="32"/>
        <v>413064.24534221471</v>
      </c>
      <c r="T231" s="139">
        <f t="shared" si="33"/>
        <v>623288.691894594</v>
      </c>
      <c r="U231" s="139">
        <f t="shared" si="34"/>
        <v>205564.60325745275</v>
      </c>
      <c r="V231" s="140">
        <f t="shared" si="35"/>
        <v>2843820.8985606506</v>
      </c>
    </row>
    <row r="232" spans="4:22">
      <c r="D232" s="9" t="s">
        <v>310</v>
      </c>
      <c r="E232" s="9" t="s">
        <v>2291</v>
      </c>
      <c r="F232" s="4" t="s">
        <v>193</v>
      </c>
      <c r="G232" s="9" t="s">
        <v>2936</v>
      </c>
      <c r="H232" s="138">
        <v>2824182.2493220288</v>
      </c>
      <c r="I232" s="139">
        <v>5848187.7633695444</v>
      </c>
      <c r="J232" s="139">
        <v>484973.41687576403</v>
      </c>
      <c r="K232" s="139">
        <v>884520.52177789982</v>
      </c>
      <c r="L232" s="139">
        <f t="shared" si="27"/>
        <v>3309155.6661977926</v>
      </c>
      <c r="M232" s="140">
        <f t="shared" si="28"/>
        <v>6732708.2851474443</v>
      </c>
      <c r="N232" s="21">
        <f>INDEX('CHIRP Payment Calc'!AM:AM,MATCH(F:F,'CHIRP Payment Calc'!C:C,0))</f>
        <v>0.35</v>
      </c>
      <c r="O232" s="141">
        <f>INDEX('CHIRP Payment Calc'!AL:AL,MATCH(F:F,'CHIRP Payment Calc'!C:C,0))</f>
        <v>0</v>
      </c>
      <c r="P232" s="138">
        <f t="shared" si="29"/>
        <v>1158204.4831692274</v>
      </c>
      <c r="Q232" s="139">
        <f t="shared" si="30"/>
        <v>71138.669287276978</v>
      </c>
      <c r="R232" s="139">
        <f t="shared" si="31"/>
        <v>1048767.9440453157</v>
      </c>
      <c r="S232" s="139">
        <f t="shared" si="32"/>
        <v>180575.20841118874</v>
      </c>
      <c r="T232" s="139">
        <f t="shared" si="33"/>
        <v>0</v>
      </c>
      <c r="U232" s="139">
        <f t="shared" si="34"/>
        <v>0</v>
      </c>
      <c r="V232" s="140">
        <f t="shared" si="35"/>
        <v>1229343.1524565045</v>
      </c>
    </row>
    <row r="233" spans="4:22">
      <c r="D233" s="9" t="s">
        <v>310</v>
      </c>
      <c r="E233" s="9" t="s">
        <v>2291</v>
      </c>
      <c r="F233" s="4" t="s">
        <v>138</v>
      </c>
      <c r="G233" s="9" t="s">
        <v>2564</v>
      </c>
      <c r="H233" s="138">
        <v>562323.90731308598</v>
      </c>
      <c r="I233" s="139">
        <v>19929.067259362982</v>
      </c>
      <c r="J233" s="139">
        <v>112178.84525651051</v>
      </c>
      <c r="K233" s="139">
        <v>74670.172610198293</v>
      </c>
      <c r="L233" s="139">
        <f t="shared" si="27"/>
        <v>674502.75256959652</v>
      </c>
      <c r="M233" s="140">
        <f t="shared" si="28"/>
        <v>94599.239869561279</v>
      </c>
      <c r="N233" s="21">
        <f>INDEX('CHIRP Payment Calc'!AM:AM,MATCH(F:F,'CHIRP Payment Calc'!C:C,0))</f>
        <v>0.3</v>
      </c>
      <c r="O233" s="141">
        <f>INDEX('CHIRP Payment Calc'!AL:AL,MATCH(F:F,'CHIRP Payment Calc'!C:C,0))</f>
        <v>0.41</v>
      </c>
      <c r="P233" s="138">
        <f t="shared" si="29"/>
        <v>241136.51411739909</v>
      </c>
      <c r="Q233" s="139">
        <f t="shared" si="30"/>
        <v>14892.600766311029</v>
      </c>
      <c r="R233" s="139">
        <f t="shared" si="31"/>
        <v>178989.04211557112</v>
      </c>
      <c r="S233" s="139">
        <f t="shared" si="32"/>
        <v>35801.759124418248</v>
      </c>
      <c r="T233" s="139">
        <f t="shared" si="33"/>
        <v>8669.4085690597585</v>
      </c>
      <c r="U233" s="139">
        <f t="shared" si="34"/>
        <v>32568.905074660957</v>
      </c>
      <c r="V233" s="140">
        <f t="shared" si="35"/>
        <v>256029.11488371011</v>
      </c>
    </row>
    <row r="234" spans="4:22">
      <c r="D234" s="9" t="s">
        <v>310</v>
      </c>
      <c r="E234" s="9" t="s">
        <v>2291</v>
      </c>
      <c r="F234" s="4" t="s">
        <v>1123</v>
      </c>
      <c r="G234" s="9" t="s">
        <v>2946</v>
      </c>
      <c r="H234" s="138">
        <v>1853141.6885608553</v>
      </c>
      <c r="I234" s="139">
        <v>4148756.6130202934</v>
      </c>
      <c r="J234" s="139">
        <v>423571.62146210845</v>
      </c>
      <c r="K234" s="139">
        <v>1212590.4952462155</v>
      </c>
      <c r="L234" s="139">
        <f t="shared" si="27"/>
        <v>2276713.3100229637</v>
      </c>
      <c r="M234" s="140">
        <f t="shared" si="28"/>
        <v>5361347.1082665091</v>
      </c>
      <c r="N234" s="21">
        <f>INDEX('CHIRP Payment Calc'!AM:AM,MATCH(F:F,'CHIRP Payment Calc'!C:C,0))</f>
        <v>0.31</v>
      </c>
      <c r="O234" s="141">
        <f>INDEX('CHIRP Payment Calc'!AL:AL,MATCH(F:F,'CHIRP Payment Calc'!C:C,0))</f>
        <v>0</v>
      </c>
      <c r="P234" s="138">
        <f t="shared" si="29"/>
        <v>705781.12610711879</v>
      </c>
      <c r="Q234" s="139">
        <f t="shared" si="30"/>
        <v>43428.791548871726</v>
      </c>
      <c r="R234" s="139">
        <f t="shared" si="31"/>
        <v>609521.40419508237</v>
      </c>
      <c r="S234" s="139">
        <f t="shared" si="32"/>
        <v>139688.51346090811</v>
      </c>
      <c r="T234" s="139">
        <f t="shared" si="33"/>
        <v>0</v>
      </c>
      <c r="U234" s="139">
        <f t="shared" si="34"/>
        <v>0</v>
      </c>
      <c r="V234" s="140">
        <f t="shared" si="35"/>
        <v>749209.91765599046</v>
      </c>
    </row>
    <row r="235" spans="4:22">
      <c r="D235" s="9" t="s">
        <v>310</v>
      </c>
      <c r="E235" s="9" t="s">
        <v>2291</v>
      </c>
      <c r="F235" s="4" t="s">
        <v>345</v>
      </c>
      <c r="G235" s="9" t="s">
        <v>2605</v>
      </c>
      <c r="H235" s="138">
        <v>294506.96425118321</v>
      </c>
      <c r="I235" s="139">
        <v>25528.597018078573</v>
      </c>
      <c r="J235" s="139">
        <v>135056.36687336475</v>
      </c>
      <c r="K235" s="139">
        <v>42927.513197174158</v>
      </c>
      <c r="L235" s="139">
        <f t="shared" si="27"/>
        <v>429563.33112454799</v>
      </c>
      <c r="M235" s="140">
        <f t="shared" si="28"/>
        <v>68456.110215252731</v>
      </c>
      <c r="N235" s="21">
        <f>INDEX('CHIRP Payment Calc'!AM:AM,MATCH(F:F,'CHIRP Payment Calc'!C:C,0))</f>
        <v>0.3</v>
      </c>
      <c r="O235" s="141">
        <f>INDEX('CHIRP Payment Calc'!AL:AL,MATCH(F:F,'CHIRP Payment Calc'!C:C,0))</f>
        <v>0</v>
      </c>
      <c r="P235" s="138">
        <f t="shared" si="29"/>
        <v>128868.9993373644</v>
      </c>
      <c r="Q235" s="139">
        <f t="shared" si="30"/>
        <v>7976.366261458963</v>
      </c>
      <c r="R235" s="139">
        <f t="shared" si="31"/>
        <v>93742.269788175021</v>
      </c>
      <c r="S235" s="139">
        <f t="shared" si="32"/>
        <v>43103.095810648323</v>
      </c>
      <c r="T235" s="139">
        <f t="shared" si="33"/>
        <v>0</v>
      </c>
      <c r="U235" s="139">
        <f t="shared" si="34"/>
        <v>0</v>
      </c>
      <c r="V235" s="140">
        <f t="shared" si="35"/>
        <v>136845.36559882335</v>
      </c>
    </row>
    <row r="236" spans="4:22">
      <c r="D236" s="9" t="s">
        <v>310</v>
      </c>
      <c r="E236" s="9" t="s">
        <v>2291</v>
      </c>
      <c r="F236" s="4" t="s">
        <v>289</v>
      </c>
      <c r="G236" s="9" t="s">
        <v>2995</v>
      </c>
      <c r="H236" s="138">
        <v>1129840.8380371453</v>
      </c>
      <c r="I236" s="139">
        <v>428544.17922448041</v>
      </c>
      <c r="J236" s="139">
        <v>283874.69296706893</v>
      </c>
      <c r="K236" s="139">
        <v>73831.028279896505</v>
      </c>
      <c r="L236" s="139">
        <f t="shared" si="27"/>
        <v>1413715.5310042142</v>
      </c>
      <c r="M236" s="140">
        <f t="shared" si="28"/>
        <v>502375.20750437689</v>
      </c>
      <c r="N236" s="21">
        <f>INDEX('CHIRP Payment Calc'!AM:AM,MATCH(F:F,'CHIRP Payment Calc'!C:C,0))</f>
        <v>0.59</v>
      </c>
      <c r="O236" s="141">
        <f>INDEX('CHIRP Payment Calc'!AL:AL,MATCH(F:F,'CHIRP Payment Calc'!C:C,0))</f>
        <v>0</v>
      </c>
      <c r="P236" s="138">
        <f t="shared" si="29"/>
        <v>834092.16329248634</v>
      </c>
      <c r="Q236" s="139">
        <f t="shared" si="30"/>
        <v>51358.876458135695</v>
      </c>
      <c r="R236" s="139">
        <f t="shared" si="31"/>
        <v>707274.37076065328</v>
      </c>
      <c r="S236" s="139">
        <f t="shared" si="32"/>
        <v>178176.66898996881</v>
      </c>
      <c r="T236" s="139">
        <f t="shared" si="33"/>
        <v>0</v>
      </c>
      <c r="U236" s="139">
        <f t="shared" si="34"/>
        <v>0</v>
      </c>
      <c r="V236" s="140">
        <f t="shared" si="35"/>
        <v>885451.03975062212</v>
      </c>
    </row>
    <row r="237" spans="4:22">
      <c r="D237" s="9" t="s">
        <v>310</v>
      </c>
      <c r="E237" s="9" t="s">
        <v>2291</v>
      </c>
      <c r="F237" s="4" t="s">
        <v>153</v>
      </c>
      <c r="G237" s="9" t="s">
        <v>2996</v>
      </c>
      <c r="H237" s="138">
        <v>1000144.1278756023</v>
      </c>
      <c r="I237" s="139">
        <v>470591.98658028053</v>
      </c>
      <c r="J237" s="139">
        <v>111321.99270374406</v>
      </c>
      <c r="K237" s="139">
        <v>187297.54045582315</v>
      </c>
      <c r="L237" s="139">
        <f t="shared" si="27"/>
        <v>1111466.1205793463</v>
      </c>
      <c r="M237" s="140">
        <f t="shared" si="28"/>
        <v>657889.52703610365</v>
      </c>
      <c r="N237" s="21">
        <f>INDEX('CHIRP Payment Calc'!AM:AM,MATCH(F:F,'CHIRP Payment Calc'!C:C,0))</f>
        <v>0.42</v>
      </c>
      <c r="O237" s="141">
        <f>INDEX('CHIRP Payment Calc'!AL:AL,MATCH(F:F,'CHIRP Payment Calc'!C:C,0))</f>
        <v>0.06</v>
      </c>
      <c r="P237" s="138">
        <f t="shared" si="29"/>
        <v>506289.14226549165</v>
      </c>
      <c r="Q237" s="139">
        <f t="shared" si="30"/>
        <v>31051.313124732926</v>
      </c>
      <c r="R237" s="139">
        <f t="shared" si="31"/>
        <v>445687.56892069284</v>
      </c>
      <c r="S237" s="139">
        <f t="shared" si="32"/>
        <v>49739.613761247354</v>
      </c>
      <c r="T237" s="139">
        <f t="shared" si="33"/>
        <v>29958.110551529793</v>
      </c>
      <c r="U237" s="139">
        <f t="shared" si="34"/>
        <v>11955.162156754668</v>
      </c>
      <c r="V237" s="140">
        <f t="shared" si="35"/>
        <v>537340.45539022458</v>
      </c>
    </row>
    <row r="238" spans="4:22">
      <c r="D238" s="9" t="s">
        <v>310</v>
      </c>
      <c r="E238" s="9" t="s">
        <v>2950</v>
      </c>
      <c r="F238" s="4" t="s">
        <v>2311</v>
      </c>
      <c r="G238" s="9" t="s">
        <v>2687</v>
      </c>
      <c r="H238" s="138">
        <v>0</v>
      </c>
      <c r="I238" s="139">
        <v>0</v>
      </c>
      <c r="J238" s="139">
        <v>0</v>
      </c>
      <c r="K238" s="139">
        <v>0</v>
      </c>
      <c r="L238" s="139">
        <f t="shared" si="27"/>
        <v>0</v>
      </c>
      <c r="M238" s="140">
        <f t="shared" si="28"/>
        <v>0</v>
      </c>
      <c r="N238" s="21">
        <f>INDEX('CHIRP Payment Calc'!AM:AM,MATCH(F:F,'CHIRP Payment Calc'!C:C,0))</f>
        <v>0</v>
      </c>
      <c r="O238" s="141">
        <f>INDEX('CHIRP Payment Calc'!AL:AL,MATCH(F:F,'CHIRP Payment Calc'!C:C,0))</f>
        <v>0</v>
      </c>
      <c r="P238" s="138">
        <f t="shared" si="29"/>
        <v>0</v>
      </c>
      <c r="Q238" s="139">
        <f t="shared" si="30"/>
        <v>0</v>
      </c>
      <c r="R238" s="139">
        <f t="shared" si="31"/>
        <v>0</v>
      </c>
      <c r="S238" s="139">
        <f t="shared" si="32"/>
        <v>0</v>
      </c>
      <c r="T238" s="139">
        <f t="shared" si="33"/>
        <v>0</v>
      </c>
      <c r="U238" s="139">
        <f t="shared" si="34"/>
        <v>0</v>
      </c>
      <c r="V238" s="140">
        <f t="shared" si="35"/>
        <v>0</v>
      </c>
    </row>
    <row r="239" spans="4:22">
      <c r="D239" s="9" t="s">
        <v>310</v>
      </c>
      <c r="E239" s="9" t="s">
        <v>2949</v>
      </c>
      <c r="F239" s="4" t="s">
        <v>1587</v>
      </c>
      <c r="G239" s="9" t="s">
        <v>2671</v>
      </c>
      <c r="H239" s="138">
        <v>1423497.2370966892</v>
      </c>
      <c r="I239" s="139">
        <v>46568.164131255893</v>
      </c>
      <c r="J239" s="139">
        <v>1731258.9670920945</v>
      </c>
      <c r="K239" s="139">
        <v>592977.79869596392</v>
      </c>
      <c r="L239" s="139">
        <f t="shared" si="27"/>
        <v>3154756.2041887837</v>
      </c>
      <c r="M239" s="140">
        <f t="shared" si="28"/>
        <v>639545.96282721986</v>
      </c>
      <c r="N239" s="21">
        <f>INDEX('CHIRP Payment Calc'!AM:AM,MATCH(F:F,'CHIRP Payment Calc'!C:C,0))</f>
        <v>0.59</v>
      </c>
      <c r="O239" s="141">
        <f>INDEX('CHIRP Payment Calc'!AL:AL,MATCH(F:F,'CHIRP Payment Calc'!C:C,0))</f>
        <v>0.05</v>
      </c>
      <c r="P239" s="138">
        <f t="shared" si="29"/>
        <v>1893283.4586127433</v>
      </c>
      <c r="Q239" s="139">
        <f t="shared" si="30"/>
        <v>118471.35858605633</v>
      </c>
      <c r="R239" s="139">
        <f t="shared" si="31"/>
        <v>891101.71871304675</v>
      </c>
      <c r="S239" s="139">
        <f t="shared" si="32"/>
        <v>1086641.2665790806</v>
      </c>
      <c r="T239" s="139">
        <f t="shared" si="33"/>
        <v>2470.4596356103921</v>
      </c>
      <c r="U239" s="139">
        <f t="shared" si="34"/>
        <v>31541.372271061911</v>
      </c>
      <c r="V239" s="140">
        <f t="shared" si="35"/>
        <v>2011754.8171987997</v>
      </c>
    </row>
    <row r="240" spans="4:22">
      <c r="D240" s="9" t="s">
        <v>310</v>
      </c>
      <c r="E240" s="9" t="s">
        <v>2279</v>
      </c>
      <c r="F240" s="4" t="s">
        <v>1617</v>
      </c>
      <c r="G240" s="9" t="s">
        <v>2787</v>
      </c>
      <c r="H240" s="138">
        <v>740905.93983323651</v>
      </c>
      <c r="I240" s="139">
        <v>1230477.5552625076</v>
      </c>
      <c r="J240" s="139">
        <v>410194.03071466228</v>
      </c>
      <c r="K240" s="139">
        <v>1699984.034077703</v>
      </c>
      <c r="L240" s="139">
        <f t="shared" si="27"/>
        <v>1151099.9705478987</v>
      </c>
      <c r="M240" s="140">
        <f t="shared" si="28"/>
        <v>2930461.5893402109</v>
      </c>
      <c r="N240" s="21">
        <f>INDEX('CHIRP Payment Calc'!AM:AM,MATCH(F:F,'CHIRP Payment Calc'!C:C,0))</f>
        <v>1.06</v>
      </c>
      <c r="O240" s="141">
        <f>INDEX('CHIRP Payment Calc'!AL:AL,MATCH(F:F,'CHIRP Payment Calc'!C:C,0))</f>
        <v>1.1000000000000001</v>
      </c>
      <c r="P240" s="138">
        <f t="shared" si="29"/>
        <v>4443673.717055005</v>
      </c>
      <c r="Q240" s="139">
        <f t="shared" si="30"/>
        <v>277603.17702119821</v>
      </c>
      <c r="R240" s="139">
        <f t="shared" si="31"/>
        <v>833273.52384427667</v>
      </c>
      <c r="S240" s="139">
        <f t="shared" si="32"/>
        <v>462559.22612504475</v>
      </c>
      <c r="T240" s="139">
        <f t="shared" si="33"/>
        <v>1436101.125505314</v>
      </c>
      <c r="U240" s="139">
        <f t="shared" si="34"/>
        <v>1989343.0186015675</v>
      </c>
      <c r="V240" s="140">
        <f t="shared" si="35"/>
        <v>4721276.894076203</v>
      </c>
    </row>
    <row r="241" spans="4:22">
      <c r="D241" s="9" t="s">
        <v>310</v>
      </c>
      <c r="E241" s="9" t="s">
        <v>2279</v>
      </c>
      <c r="F241" s="4" t="s">
        <v>537</v>
      </c>
      <c r="G241" s="9" t="s">
        <v>2891</v>
      </c>
      <c r="H241" s="138">
        <v>905028.44628499064</v>
      </c>
      <c r="I241" s="139">
        <v>1617806.1739586217</v>
      </c>
      <c r="J241" s="139">
        <v>360398.99335984682</v>
      </c>
      <c r="K241" s="139">
        <v>859416.53148247465</v>
      </c>
      <c r="L241" s="139">
        <f t="shared" si="27"/>
        <v>1265427.4396448375</v>
      </c>
      <c r="M241" s="140">
        <f t="shared" si="28"/>
        <v>2477222.7054410963</v>
      </c>
      <c r="N241" s="21">
        <f>INDEX('CHIRP Payment Calc'!AM:AM,MATCH(F:F,'CHIRP Payment Calc'!C:C,0))</f>
        <v>0.99</v>
      </c>
      <c r="O241" s="141">
        <f>INDEX('CHIRP Payment Calc'!AL:AL,MATCH(F:F,'CHIRP Payment Calc'!C:C,0))</f>
        <v>1.21</v>
      </c>
      <c r="P241" s="138">
        <f t="shared" si="29"/>
        <v>4250212.6388321156</v>
      </c>
      <c r="Q241" s="139">
        <f t="shared" si="30"/>
        <v>263238.01077394432</v>
      </c>
      <c r="R241" s="139">
        <f t="shared" si="31"/>
        <v>950639.95949298749</v>
      </c>
      <c r="S241" s="139">
        <f t="shared" si="32"/>
        <v>379569.15258111525</v>
      </c>
      <c r="T241" s="139">
        <f t="shared" si="33"/>
        <v>2076971.3214747289</v>
      </c>
      <c r="U241" s="139">
        <f t="shared" si="34"/>
        <v>1106270.2160572279</v>
      </c>
      <c r="V241" s="140">
        <f t="shared" si="35"/>
        <v>4513450.6496060593</v>
      </c>
    </row>
    <row r="242" spans="4:22">
      <c r="D242" s="9" t="s">
        <v>310</v>
      </c>
      <c r="E242" s="9" t="s">
        <v>2279</v>
      </c>
      <c r="F242" s="4" t="s">
        <v>65</v>
      </c>
      <c r="G242" s="9" t="s">
        <v>2997</v>
      </c>
      <c r="H242" s="138">
        <v>6028483.7802601056</v>
      </c>
      <c r="I242" s="139">
        <v>6181908.5715174796</v>
      </c>
      <c r="J242" s="139">
        <v>2838594.7053950517</v>
      </c>
      <c r="K242" s="139">
        <v>3010232.238068989</v>
      </c>
      <c r="L242" s="139">
        <f t="shared" si="27"/>
        <v>8867078.4856551569</v>
      </c>
      <c r="M242" s="140">
        <f t="shared" si="28"/>
        <v>9192140.8095864691</v>
      </c>
      <c r="N242" s="21">
        <f>INDEX('CHIRP Payment Calc'!AM:AM,MATCH(F:F,'CHIRP Payment Calc'!C:C,0))</f>
        <v>2.65</v>
      </c>
      <c r="O242" s="141">
        <f>INDEX('CHIRP Payment Calc'!AL:AL,MATCH(F:F,'CHIRP Payment Calc'!C:C,0))</f>
        <v>1.6800000000000002</v>
      </c>
      <c r="P242" s="138">
        <f t="shared" si="29"/>
        <v>38940554.547091432</v>
      </c>
      <c r="Q242" s="139">
        <f t="shared" si="30"/>
        <v>2411180.8099705675</v>
      </c>
      <c r="R242" s="139">
        <f t="shared" si="31"/>
        <v>16950113.546619926</v>
      </c>
      <c r="S242" s="139">
        <f t="shared" si="32"/>
        <v>8002421.2439328581</v>
      </c>
      <c r="T242" s="139">
        <f t="shared" si="33"/>
        <v>11019211.034641238</v>
      </c>
      <c r="U242" s="139">
        <f t="shared" si="34"/>
        <v>5379989.531867981</v>
      </c>
      <c r="V242" s="140">
        <f t="shared" si="35"/>
        <v>41351735.357062005</v>
      </c>
    </row>
    <row r="243" spans="4:22">
      <c r="D243" s="9" t="s">
        <v>310</v>
      </c>
      <c r="E243" s="9" t="s">
        <v>2279</v>
      </c>
      <c r="F243" s="4" t="s">
        <v>1501</v>
      </c>
      <c r="G243" s="9" t="s">
        <v>2939</v>
      </c>
      <c r="H243" s="138">
        <v>80044.092930008497</v>
      </c>
      <c r="I243" s="139">
        <v>44952.146962135557</v>
      </c>
      <c r="J243" s="139">
        <v>89008.767629379377</v>
      </c>
      <c r="K243" s="139">
        <v>0</v>
      </c>
      <c r="L243" s="139">
        <f t="shared" si="27"/>
        <v>169052.86055938789</v>
      </c>
      <c r="M243" s="140">
        <f t="shared" si="28"/>
        <v>44952.146962135557</v>
      </c>
      <c r="N243" s="21">
        <f>INDEX('CHIRP Payment Calc'!AM:AM,MATCH(F:F,'CHIRP Payment Calc'!C:C,0))</f>
        <v>0.99</v>
      </c>
      <c r="O243" s="141">
        <f>INDEX('CHIRP Payment Calc'!AL:AL,MATCH(F:F,'CHIRP Payment Calc'!C:C,0))</f>
        <v>0.6</v>
      </c>
      <c r="P243" s="138">
        <f t="shared" si="29"/>
        <v>194333.62013107532</v>
      </c>
      <c r="Q243" s="139">
        <f t="shared" si="30"/>
        <v>12104.553155333075</v>
      </c>
      <c r="R243" s="139">
        <f t="shared" si="31"/>
        <v>84078.145358841823</v>
      </c>
      <c r="S243" s="139">
        <f t="shared" si="32"/>
        <v>93743.276545835732</v>
      </c>
      <c r="T243" s="139">
        <f t="shared" si="33"/>
        <v>28616.751381730861</v>
      </c>
      <c r="U243" s="139">
        <f t="shared" si="34"/>
        <v>0</v>
      </c>
      <c r="V243" s="140">
        <f t="shared" si="35"/>
        <v>206438.17328640842</v>
      </c>
    </row>
    <row r="244" spans="4:22">
      <c r="D244" s="9" t="s">
        <v>310</v>
      </c>
      <c r="E244" s="9" t="s">
        <v>2279</v>
      </c>
      <c r="F244" s="4" t="s">
        <v>68</v>
      </c>
      <c r="G244" s="9" t="s">
        <v>2998</v>
      </c>
      <c r="H244" s="138">
        <v>1894711.893641124</v>
      </c>
      <c r="I244" s="139">
        <v>3068664.6999377245</v>
      </c>
      <c r="J244" s="139">
        <v>849252.23356021661</v>
      </c>
      <c r="K244" s="139">
        <v>927719.2454668585</v>
      </c>
      <c r="L244" s="139">
        <f t="shared" si="27"/>
        <v>2743964.1272013406</v>
      </c>
      <c r="M244" s="140">
        <f t="shared" si="28"/>
        <v>3996383.9454045831</v>
      </c>
      <c r="N244" s="21">
        <f>INDEX('CHIRP Payment Calc'!AM:AM,MATCH(F:F,'CHIRP Payment Calc'!C:C,0))</f>
        <v>2.37</v>
      </c>
      <c r="O244" s="141">
        <f>INDEX('CHIRP Payment Calc'!AL:AL,MATCH(F:F,'CHIRP Payment Calc'!C:C,0))</f>
        <v>2.0699999999999998</v>
      </c>
      <c r="P244" s="138">
        <f t="shared" si="29"/>
        <v>14775709.748454664</v>
      </c>
      <c r="Q244" s="139">
        <f t="shared" si="30"/>
        <v>912534.43025352433</v>
      </c>
      <c r="R244" s="139">
        <f t="shared" si="31"/>
        <v>4764421.4195538079</v>
      </c>
      <c r="S244" s="139">
        <f t="shared" si="32"/>
        <v>2141199.7803592696</v>
      </c>
      <c r="T244" s="139">
        <f t="shared" si="33"/>
        <v>6739666.7680329857</v>
      </c>
      <c r="U244" s="139">
        <f t="shared" si="34"/>
        <v>2042956.2107621245</v>
      </c>
      <c r="V244" s="140">
        <f t="shared" si="35"/>
        <v>15688244.178708188</v>
      </c>
    </row>
    <row r="245" spans="4:22">
      <c r="D245" s="9" t="s">
        <v>310</v>
      </c>
      <c r="E245" s="9" t="s">
        <v>2279</v>
      </c>
      <c r="F245" s="4" t="s">
        <v>1519</v>
      </c>
      <c r="G245" s="9" t="s">
        <v>2669</v>
      </c>
      <c r="H245" s="138">
        <v>0</v>
      </c>
      <c r="I245" s="139">
        <v>197851.43157090415</v>
      </c>
      <c r="J245" s="139">
        <v>0</v>
      </c>
      <c r="K245" s="139">
        <v>0</v>
      </c>
      <c r="L245" s="139">
        <f t="shared" si="27"/>
        <v>0</v>
      </c>
      <c r="M245" s="140">
        <f t="shared" si="28"/>
        <v>197851.43157090415</v>
      </c>
      <c r="N245" s="21">
        <f>INDEX('CHIRP Payment Calc'!AM:AM,MATCH(F:F,'CHIRP Payment Calc'!C:C,0))</f>
        <v>0.99</v>
      </c>
      <c r="O245" s="141">
        <f>INDEX('CHIRP Payment Calc'!AL:AL,MATCH(F:F,'CHIRP Payment Calc'!C:C,0))</f>
        <v>0.6</v>
      </c>
      <c r="P245" s="138">
        <f t="shared" si="29"/>
        <v>118710.85894254249</v>
      </c>
      <c r="Q245" s="139">
        <f t="shared" si="30"/>
        <v>7242.307044239993</v>
      </c>
      <c r="R245" s="139">
        <f t="shared" si="31"/>
        <v>0</v>
      </c>
      <c r="S245" s="139">
        <f t="shared" si="32"/>
        <v>0</v>
      </c>
      <c r="T245" s="139">
        <f t="shared" si="33"/>
        <v>125953.16598678248</v>
      </c>
      <c r="U245" s="139">
        <f t="shared" si="34"/>
        <v>0</v>
      </c>
      <c r="V245" s="140">
        <f t="shared" si="35"/>
        <v>125953.16598678248</v>
      </c>
    </row>
    <row r="246" spans="4:22">
      <c r="D246" s="9" t="s">
        <v>310</v>
      </c>
      <c r="E246" s="9" t="s">
        <v>2279</v>
      </c>
      <c r="F246" s="4" t="s">
        <v>460</v>
      </c>
      <c r="G246" s="9" t="s">
        <v>2940</v>
      </c>
      <c r="H246" s="138">
        <v>2213905.7513934635</v>
      </c>
      <c r="I246" s="139">
        <v>4068930.1312057711</v>
      </c>
      <c r="J246" s="139">
        <v>2079549.057344778</v>
      </c>
      <c r="K246" s="139">
        <v>7830841.919407296</v>
      </c>
      <c r="L246" s="139">
        <f t="shared" si="27"/>
        <v>4293454.808738241</v>
      </c>
      <c r="M246" s="140">
        <f t="shared" si="28"/>
        <v>11899772.050613068</v>
      </c>
      <c r="N246" s="21">
        <f>INDEX('CHIRP Payment Calc'!AM:AM,MATCH(F:F,'CHIRP Payment Calc'!C:C,0))</f>
        <v>1.5</v>
      </c>
      <c r="O246" s="141">
        <f>INDEX('CHIRP Payment Calc'!AL:AL,MATCH(F:F,'CHIRP Payment Calc'!C:C,0))</f>
        <v>1.67</v>
      </c>
      <c r="P246" s="138">
        <f t="shared" si="29"/>
        <v>26312801.537631184</v>
      </c>
      <c r="Q246" s="139">
        <f t="shared" si="30"/>
        <v>1650994.9738557865</v>
      </c>
      <c r="R246" s="139">
        <f t="shared" si="31"/>
        <v>3523457.4292734163</v>
      </c>
      <c r="S246" s="139">
        <f t="shared" si="32"/>
        <v>3318429.3468267736</v>
      </c>
      <c r="T246" s="139">
        <f t="shared" si="33"/>
        <v>7209669.3040993502</v>
      </c>
      <c r="U246" s="139">
        <f t="shared" si="34"/>
        <v>13912240.43128743</v>
      </c>
      <c r="V246" s="140">
        <f t="shared" si="35"/>
        <v>27963796.51148697</v>
      </c>
    </row>
    <row r="247" spans="4:22">
      <c r="D247" s="9" t="s">
        <v>310</v>
      </c>
      <c r="E247" s="9" t="s">
        <v>2279</v>
      </c>
      <c r="F247" s="4" t="s">
        <v>17</v>
      </c>
      <c r="G247" s="9" t="s">
        <v>2933</v>
      </c>
      <c r="H247" s="138">
        <v>2392420.6862909221</v>
      </c>
      <c r="I247" s="139">
        <v>3991019.9415561892</v>
      </c>
      <c r="J247" s="139">
        <v>1189853.9614635739</v>
      </c>
      <c r="K247" s="139">
        <v>1464514.4533780087</v>
      </c>
      <c r="L247" s="139">
        <f t="shared" si="27"/>
        <v>3582274.647754496</v>
      </c>
      <c r="M247" s="140">
        <f t="shared" si="28"/>
        <v>5455534.3949341979</v>
      </c>
      <c r="N247" s="21">
        <f>INDEX('CHIRP Payment Calc'!AM:AM,MATCH(F:F,'CHIRP Payment Calc'!C:C,0))</f>
        <v>1.32</v>
      </c>
      <c r="O247" s="141">
        <f>INDEX('CHIRP Payment Calc'!AL:AL,MATCH(F:F,'CHIRP Payment Calc'!C:C,0))</f>
        <v>0.72</v>
      </c>
      <c r="P247" s="138">
        <f t="shared" si="29"/>
        <v>8656587.2993885577</v>
      </c>
      <c r="Q247" s="139">
        <f t="shared" si="30"/>
        <v>535528.17610571906</v>
      </c>
      <c r="R247" s="139">
        <f t="shared" si="31"/>
        <v>3350658.1495002839</v>
      </c>
      <c r="S247" s="139">
        <f t="shared" si="32"/>
        <v>1670858.7543956572</v>
      </c>
      <c r="T247" s="139">
        <f t="shared" si="33"/>
        <v>3048842.8200747548</v>
      </c>
      <c r="U247" s="139">
        <f t="shared" si="34"/>
        <v>1121755.7515235811</v>
      </c>
      <c r="V247" s="140">
        <f t="shared" si="35"/>
        <v>9192115.4754942767</v>
      </c>
    </row>
    <row r="248" spans="4:22">
      <c r="D248" s="9" t="s">
        <v>310</v>
      </c>
      <c r="E248" s="9" t="s">
        <v>2279</v>
      </c>
      <c r="F248" s="4" t="s">
        <v>1382</v>
      </c>
      <c r="G248" s="9" t="s">
        <v>2999</v>
      </c>
      <c r="H248" s="138">
        <v>44023.047604758773</v>
      </c>
      <c r="I248" s="139">
        <v>0</v>
      </c>
      <c r="J248" s="139">
        <v>55175.276573394251</v>
      </c>
      <c r="K248" s="139">
        <v>1799.8151220848008</v>
      </c>
      <c r="L248" s="139">
        <f t="shared" si="27"/>
        <v>99198.324178153023</v>
      </c>
      <c r="M248" s="140">
        <f t="shared" si="28"/>
        <v>1799.8151220848008</v>
      </c>
      <c r="N248" s="21">
        <f>INDEX('CHIRP Payment Calc'!AM:AM,MATCH(F:F,'CHIRP Payment Calc'!C:C,0))</f>
        <v>0.99</v>
      </c>
      <c r="O248" s="141">
        <f>INDEX('CHIRP Payment Calc'!AL:AL,MATCH(F:F,'CHIRP Payment Calc'!C:C,0))</f>
        <v>4.08</v>
      </c>
      <c r="P248" s="138">
        <f t="shared" si="29"/>
        <v>105549.58663447748</v>
      </c>
      <c r="Q248" s="139">
        <f t="shared" si="30"/>
        <v>6614.2243708537999</v>
      </c>
      <c r="R248" s="139">
        <f t="shared" si="31"/>
        <v>46241.715786430963</v>
      </c>
      <c r="S248" s="139">
        <f t="shared" si="32"/>
        <v>58110.131710276924</v>
      </c>
      <c r="T248" s="139">
        <f t="shared" si="33"/>
        <v>0</v>
      </c>
      <c r="U248" s="139">
        <f t="shared" si="34"/>
        <v>7811.9635086233911</v>
      </c>
      <c r="V248" s="140">
        <f t="shared" si="35"/>
        <v>112163.81100533128</v>
      </c>
    </row>
    <row r="249" spans="4:22">
      <c r="D249" s="9" t="s">
        <v>310</v>
      </c>
      <c r="E249" s="9" t="s">
        <v>2279</v>
      </c>
      <c r="F249" s="4" t="s">
        <v>808</v>
      </c>
      <c r="G249" s="9" t="s">
        <v>2442</v>
      </c>
      <c r="H249" s="138">
        <v>1919454.3945339127</v>
      </c>
      <c r="I249" s="139">
        <v>7600761.8162674997</v>
      </c>
      <c r="J249" s="139">
        <v>798420.79244712577</v>
      </c>
      <c r="K249" s="139">
        <v>2066952.1257126457</v>
      </c>
      <c r="L249" s="139">
        <f t="shared" si="27"/>
        <v>2717875.1869810382</v>
      </c>
      <c r="M249" s="140">
        <f t="shared" si="28"/>
        <v>9667713.9419801459</v>
      </c>
      <c r="N249" s="21">
        <f>INDEX('CHIRP Payment Calc'!AM:AM,MATCH(F:F,'CHIRP Payment Calc'!C:C,0))</f>
        <v>1.37</v>
      </c>
      <c r="O249" s="141">
        <f>INDEX('CHIRP Payment Calc'!AL:AL,MATCH(F:F,'CHIRP Payment Calc'!C:C,0))</f>
        <v>1.0899999999999999</v>
      </c>
      <c r="P249" s="138">
        <f t="shared" si="29"/>
        <v>14261297.202922381</v>
      </c>
      <c r="Q249" s="139">
        <f t="shared" si="30"/>
        <v>879496.75441577169</v>
      </c>
      <c r="R249" s="139">
        <f t="shared" si="31"/>
        <v>2790082.2498795339</v>
      </c>
      <c r="S249" s="139">
        <f t="shared" si="32"/>
        <v>1163655.8358005984</v>
      </c>
      <c r="T249" s="139">
        <f t="shared" si="33"/>
        <v>8790270.9599273987</v>
      </c>
      <c r="U249" s="139">
        <f t="shared" si="34"/>
        <v>2396784.9117306205</v>
      </c>
      <c r="V249" s="140">
        <f t="shared" si="35"/>
        <v>15140793.957338152</v>
      </c>
    </row>
    <row r="250" spans="4:22">
      <c r="D250" s="9" t="s">
        <v>310</v>
      </c>
      <c r="E250" s="9" t="s">
        <v>2279</v>
      </c>
      <c r="F250" s="4" t="s">
        <v>1460</v>
      </c>
      <c r="G250" s="9" t="s">
        <v>2663</v>
      </c>
      <c r="H250" s="138">
        <v>65.209384936924152</v>
      </c>
      <c r="I250" s="139">
        <v>11042.412819313307</v>
      </c>
      <c r="J250" s="139">
        <v>0</v>
      </c>
      <c r="K250" s="139">
        <v>2476.0181548837204</v>
      </c>
      <c r="L250" s="139">
        <f t="shared" si="27"/>
        <v>65.209384936924152</v>
      </c>
      <c r="M250" s="140">
        <f t="shared" si="28"/>
        <v>13518.430974197028</v>
      </c>
      <c r="N250" s="21">
        <f>INDEX('CHIRP Payment Calc'!AM:AM,MATCH(F:F,'CHIRP Payment Calc'!C:C,0))</f>
        <v>0.99</v>
      </c>
      <c r="O250" s="141">
        <f>INDEX('CHIRP Payment Calc'!AL:AL,MATCH(F:F,'CHIRP Payment Calc'!C:C,0))</f>
        <v>2.44</v>
      </c>
      <c r="P250" s="138">
        <f t="shared" si="29"/>
        <v>33049.528868128305</v>
      </c>
      <c r="Q250" s="139">
        <f t="shared" si="30"/>
        <v>2033.3322942232919</v>
      </c>
      <c r="R250" s="139">
        <f t="shared" si="31"/>
        <v>68.495799562392477</v>
      </c>
      <c r="S250" s="139">
        <f t="shared" si="32"/>
        <v>0</v>
      </c>
      <c r="T250" s="139">
        <f t="shared" si="33"/>
        <v>28587.254407559118</v>
      </c>
      <c r="U250" s="139">
        <f t="shared" si="34"/>
        <v>6427.1109552300823</v>
      </c>
      <c r="V250" s="140">
        <f t="shared" si="35"/>
        <v>35082.86116235159</v>
      </c>
    </row>
    <row r="251" spans="4:22">
      <c r="D251" s="9" t="s">
        <v>310</v>
      </c>
      <c r="E251" s="9" t="s">
        <v>2279</v>
      </c>
      <c r="F251" s="4" t="s">
        <v>899</v>
      </c>
      <c r="G251" s="9" t="s">
        <v>3000</v>
      </c>
      <c r="H251" s="138">
        <v>5477533.9057934685</v>
      </c>
      <c r="I251" s="139">
        <v>13486188.134079359</v>
      </c>
      <c r="J251" s="139">
        <v>1433249.9901111613</v>
      </c>
      <c r="K251" s="139">
        <v>3472019.481014939</v>
      </c>
      <c r="L251" s="139">
        <f t="shared" si="27"/>
        <v>6910783.8959046295</v>
      </c>
      <c r="M251" s="140">
        <f t="shared" si="28"/>
        <v>16958207.615094297</v>
      </c>
      <c r="N251" s="21">
        <f>INDEX('CHIRP Payment Calc'!AM:AM,MATCH(F:F,'CHIRP Payment Calc'!C:C,0))</f>
        <v>1.33</v>
      </c>
      <c r="O251" s="141">
        <f>INDEX('CHIRP Payment Calc'!AL:AL,MATCH(F:F,'CHIRP Payment Calc'!C:C,0))</f>
        <v>1.1499999999999999</v>
      </c>
      <c r="P251" s="138">
        <f t="shared" si="29"/>
        <v>28693281.338911597</v>
      </c>
      <c r="Q251" s="139">
        <f t="shared" si="30"/>
        <v>1767164.590093357</v>
      </c>
      <c r="R251" s="139">
        <f t="shared" si="31"/>
        <v>7729570.3922602786</v>
      </c>
      <c r="S251" s="139">
        <f t="shared" si="32"/>
        <v>2027896.2626040899</v>
      </c>
      <c r="T251" s="139">
        <f t="shared" si="33"/>
        <v>16455295.866515929</v>
      </c>
      <c r="U251" s="139">
        <f t="shared" si="34"/>
        <v>4247683.4076246591</v>
      </c>
      <c r="V251" s="140">
        <f t="shared" si="35"/>
        <v>30460445.929004956</v>
      </c>
    </row>
    <row r="252" spans="4:22">
      <c r="D252" s="9" t="s">
        <v>310</v>
      </c>
      <c r="E252" s="9" t="s">
        <v>2279</v>
      </c>
      <c r="F252" s="4" t="s">
        <v>1590</v>
      </c>
      <c r="G252" s="9" t="s">
        <v>2562</v>
      </c>
      <c r="H252" s="138">
        <v>3508349.9200981185</v>
      </c>
      <c r="I252" s="139">
        <v>4632294.75610941</v>
      </c>
      <c r="J252" s="139">
        <v>1218860.7977066776</v>
      </c>
      <c r="K252" s="139">
        <v>4125024.5074847955</v>
      </c>
      <c r="L252" s="139">
        <f t="shared" si="27"/>
        <v>4727210.7178047961</v>
      </c>
      <c r="M252" s="140">
        <f t="shared" si="28"/>
        <v>8757319.2635942064</v>
      </c>
      <c r="N252" s="21">
        <f>INDEX('CHIRP Payment Calc'!AM:AM,MATCH(F:F,'CHIRP Payment Calc'!C:C,0))</f>
        <v>0.99</v>
      </c>
      <c r="O252" s="141">
        <f>INDEX('CHIRP Payment Calc'!AL:AL,MATCH(F:F,'CHIRP Payment Calc'!C:C,0))</f>
        <v>1.43</v>
      </c>
      <c r="P252" s="138">
        <f t="shared" si="29"/>
        <v>17202905.157566462</v>
      </c>
      <c r="Q252" s="139">
        <f t="shared" si="30"/>
        <v>1069564.4978328906</v>
      </c>
      <c r="R252" s="139">
        <f t="shared" si="31"/>
        <v>3685163.3112966972</v>
      </c>
      <c r="S252" s="139">
        <f t="shared" si="32"/>
        <v>1283693.818861288</v>
      </c>
      <c r="T252" s="139">
        <f t="shared" si="33"/>
        <v>7028309.2851315178</v>
      </c>
      <c r="U252" s="139">
        <f t="shared" si="34"/>
        <v>6275303.2401098479</v>
      </c>
      <c r="V252" s="140">
        <f t="shared" si="35"/>
        <v>18272469.655399352</v>
      </c>
    </row>
    <row r="253" spans="4:22">
      <c r="D253" s="9" t="s">
        <v>227</v>
      </c>
      <c r="E253" s="9" t="s">
        <v>2529</v>
      </c>
      <c r="F253" s="4" t="s">
        <v>1216</v>
      </c>
      <c r="G253" s="9" t="s">
        <v>2810</v>
      </c>
      <c r="H253" s="138">
        <v>0</v>
      </c>
      <c r="I253" s="139">
        <v>1167249.836648138</v>
      </c>
      <c r="J253" s="139">
        <v>0</v>
      </c>
      <c r="K253" s="139">
        <v>0</v>
      </c>
      <c r="L253" s="139">
        <f t="shared" si="27"/>
        <v>0</v>
      </c>
      <c r="M253" s="140">
        <f t="shared" si="28"/>
        <v>1167249.836648138</v>
      </c>
      <c r="N253" s="21">
        <f>INDEX('CHIRP Payment Calc'!AM:AM,MATCH(F:F,'CHIRP Payment Calc'!C:C,0))</f>
        <v>0</v>
      </c>
      <c r="O253" s="141">
        <f>INDEX('CHIRP Payment Calc'!AL:AL,MATCH(F:F,'CHIRP Payment Calc'!C:C,0))</f>
        <v>0.17</v>
      </c>
      <c r="P253" s="138">
        <f t="shared" si="29"/>
        <v>198432.47223018348</v>
      </c>
      <c r="Q253" s="139">
        <f t="shared" si="30"/>
        <v>12105.959844281751</v>
      </c>
      <c r="R253" s="139">
        <f t="shared" si="31"/>
        <v>0</v>
      </c>
      <c r="S253" s="139">
        <f t="shared" si="32"/>
        <v>0</v>
      </c>
      <c r="T253" s="139">
        <f t="shared" si="33"/>
        <v>210538.43207446524</v>
      </c>
      <c r="U253" s="139">
        <f t="shared" si="34"/>
        <v>0</v>
      </c>
      <c r="V253" s="140">
        <f t="shared" si="35"/>
        <v>210538.43207446524</v>
      </c>
    </row>
    <row r="254" spans="4:22">
      <c r="D254" s="9" t="s">
        <v>227</v>
      </c>
      <c r="E254" s="9" t="s">
        <v>2529</v>
      </c>
      <c r="F254" s="4" t="s">
        <v>1298</v>
      </c>
      <c r="G254" s="9" t="s">
        <v>2585</v>
      </c>
      <c r="H254" s="138">
        <v>0</v>
      </c>
      <c r="I254" s="139">
        <v>1121425.2850891624</v>
      </c>
      <c r="J254" s="139">
        <v>0</v>
      </c>
      <c r="K254" s="139">
        <v>0</v>
      </c>
      <c r="L254" s="139">
        <f t="shared" si="27"/>
        <v>0</v>
      </c>
      <c r="M254" s="140">
        <f t="shared" si="28"/>
        <v>1121425.2850891624</v>
      </c>
      <c r="N254" s="21">
        <f>INDEX('CHIRP Payment Calc'!AM:AM,MATCH(F:F,'CHIRP Payment Calc'!C:C,0))</f>
        <v>0</v>
      </c>
      <c r="O254" s="141">
        <f>INDEX('CHIRP Payment Calc'!AL:AL,MATCH(F:F,'CHIRP Payment Calc'!C:C,0))</f>
        <v>0.17</v>
      </c>
      <c r="P254" s="138">
        <f t="shared" si="29"/>
        <v>190642.29846515763</v>
      </c>
      <c r="Q254" s="139">
        <f t="shared" si="30"/>
        <v>11630.697253842509</v>
      </c>
      <c r="R254" s="139">
        <f t="shared" si="31"/>
        <v>0</v>
      </c>
      <c r="S254" s="139">
        <f t="shared" si="32"/>
        <v>0</v>
      </c>
      <c r="T254" s="139">
        <f t="shared" si="33"/>
        <v>202272.99571900014</v>
      </c>
      <c r="U254" s="139">
        <f t="shared" si="34"/>
        <v>0</v>
      </c>
      <c r="V254" s="140">
        <f t="shared" si="35"/>
        <v>202272.99571900014</v>
      </c>
    </row>
    <row r="255" spans="4:22">
      <c r="D255" s="9" t="s">
        <v>227</v>
      </c>
      <c r="E255" s="9" t="s">
        <v>2529</v>
      </c>
      <c r="F255" s="4" t="s">
        <v>1301</v>
      </c>
      <c r="G255" s="9" t="s">
        <v>2826</v>
      </c>
      <c r="H255" s="138">
        <v>0</v>
      </c>
      <c r="I255" s="139">
        <v>1831352.9086453032</v>
      </c>
      <c r="J255" s="139">
        <v>0</v>
      </c>
      <c r="K255" s="139">
        <v>0</v>
      </c>
      <c r="L255" s="139">
        <f t="shared" si="27"/>
        <v>0</v>
      </c>
      <c r="M255" s="140">
        <f t="shared" si="28"/>
        <v>1831352.9086453032</v>
      </c>
      <c r="N255" s="21">
        <f>INDEX('CHIRP Payment Calc'!AM:AM,MATCH(F:F,'CHIRP Payment Calc'!C:C,0))</f>
        <v>0</v>
      </c>
      <c r="O255" s="141">
        <f>INDEX('CHIRP Payment Calc'!AL:AL,MATCH(F:F,'CHIRP Payment Calc'!C:C,0))</f>
        <v>0.17</v>
      </c>
      <c r="P255" s="138">
        <f t="shared" si="29"/>
        <v>311329.99446970155</v>
      </c>
      <c r="Q255" s="139">
        <f t="shared" si="30"/>
        <v>18993.607089663492</v>
      </c>
      <c r="R255" s="139">
        <f t="shared" si="31"/>
        <v>0</v>
      </c>
      <c r="S255" s="139">
        <f t="shared" si="32"/>
        <v>0</v>
      </c>
      <c r="T255" s="139">
        <f t="shared" si="33"/>
        <v>330323.60155936505</v>
      </c>
      <c r="U255" s="139">
        <f t="shared" si="34"/>
        <v>0</v>
      </c>
      <c r="V255" s="140">
        <f t="shared" si="35"/>
        <v>330323.60155936505</v>
      </c>
    </row>
    <row r="256" spans="4:22">
      <c r="D256" s="9" t="s">
        <v>227</v>
      </c>
      <c r="E256" s="9" t="s">
        <v>2529</v>
      </c>
      <c r="F256" s="4" t="s">
        <v>1283</v>
      </c>
      <c r="G256" s="9" t="s">
        <v>2809</v>
      </c>
      <c r="H256" s="138">
        <v>0</v>
      </c>
      <c r="I256" s="139">
        <v>1440533.553210709</v>
      </c>
      <c r="J256" s="139">
        <v>0</v>
      </c>
      <c r="K256" s="139">
        <v>0</v>
      </c>
      <c r="L256" s="139">
        <f t="shared" si="27"/>
        <v>0</v>
      </c>
      <c r="M256" s="140">
        <f t="shared" si="28"/>
        <v>1440533.553210709</v>
      </c>
      <c r="N256" s="21">
        <f>INDEX('CHIRP Payment Calc'!AM:AM,MATCH(F:F,'CHIRP Payment Calc'!C:C,0))</f>
        <v>0</v>
      </c>
      <c r="O256" s="141">
        <f>INDEX('CHIRP Payment Calc'!AL:AL,MATCH(F:F,'CHIRP Payment Calc'!C:C,0))</f>
        <v>0.17</v>
      </c>
      <c r="P256" s="138">
        <f t="shared" si="29"/>
        <v>244890.70404582054</v>
      </c>
      <c r="Q256" s="139">
        <f t="shared" si="30"/>
        <v>14940.281679187992</v>
      </c>
      <c r="R256" s="139">
        <f t="shared" si="31"/>
        <v>0</v>
      </c>
      <c r="S256" s="139">
        <f t="shared" si="32"/>
        <v>0</v>
      </c>
      <c r="T256" s="139">
        <f t="shared" si="33"/>
        <v>259830.98572500856</v>
      </c>
      <c r="U256" s="139">
        <f t="shared" si="34"/>
        <v>0</v>
      </c>
      <c r="V256" s="140">
        <f t="shared" si="35"/>
        <v>259830.98572500856</v>
      </c>
    </row>
    <row r="257" spans="4:22">
      <c r="D257" s="9" t="s">
        <v>227</v>
      </c>
      <c r="E257" s="9" t="s">
        <v>2291</v>
      </c>
      <c r="F257" s="4" t="s">
        <v>826</v>
      </c>
      <c r="G257" s="9" t="s">
        <v>2690</v>
      </c>
      <c r="H257" s="138">
        <v>130614.98865090292</v>
      </c>
      <c r="I257" s="139">
        <v>134.52935096811308</v>
      </c>
      <c r="J257" s="139">
        <v>20024.884557703826</v>
      </c>
      <c r="K257" s="139">
        <v>12510.440351401467</v>
      </c>
      <c r="L257" s="139">
        <f t="shared" si="27"/>
        <v>150639.87320860673</v>
      </c>
      <c r="M257" s="140">
        <f t="shared" si="28"/>
        <v>12644.969702369579</v>
      </c>
      <c r="N257" s="21">
        <f>INDEX('CHIRP Payment Calc'!AM:AM,MATCH(F:F,'CHIRP Payment Calc'!C:C,0))</f>
        <v>0.2</v>
      </c>
      <c r="O257" s="141">
        <f>INDEX('CHIRP Payment Calc'!AL:AL,MATCH(F:F,'CHIRP Payment Calc'!C:C,0))</f>
        <v>0</v>
      </c>
      <c r="P257" s="138">
        <f t="shared" si="29"/>
        <v>30127.974641721346</v>
      </c>
      <c r="Q257" s="139">
        <f t="shared" si="30"/>
        <v>1849.3475609954185</v>
      </c>
      <c r="R257" s="139">
        <f t="shared" si="31"/>
        <v>27716.708467035103</v>
      </c>
      <c r="S257" s="139">
        <f t="shared" si="32"/>
        <v>4260.6137356816653</v>
      </c>
      <c r="T257" s="139">
        <f t="shared" si="33"/>
        <v>0</v>
      </c>
      <c r="U257" s="139">
        <f t="shared" si="34"/>
        <v>0</v>
      </c>
      <c r="V257" s="140">
        <f t="shared" si="35"/>
        <v>31977.322202716769</v>
      </c>
    </row>
    <row r="258" spans="4:22">
      <c r="D258" s="9" t="s">
        <v>227</v>
      </c>
      <c r="E258" s="9" t="s">
        <v>2291</v>
      </c>
      <c r="F258" s="4" t="s">
        <v>549</v>
      </c>
      <c r="G258" s="9" t="s">
        <v>2844</v>
      </c>
      <c r="H258" s="138">
        <v>291452.27915353223</v>
      </c>
      <c r="I258" s="139">
        <v>0</v>
      </c>
      <c r="J258" s="139">
        <v>32513.304441156281</v>
      </c>
      <c r="K258" s="139">
        <v>19445.419902198893</v>
      </c>
      <c r="L258" s="139">
        <f t="shared" si="27"/>
        <v>323965.58359468851</v>
      </c>
      <c r="M258" s="140">
        <f t="shared" si="28"/>
        <v>19445.419902198893</v>
      </c>
      <c r="N258" s="21">
        <f>INDEX('CHIRP Payment Calc'!AM:AM,MATCH(F:F,'CHIRP Payment Calc'!C:C,0))</f>
        <v>0.2</v>
      </c>
      <c r="O258" s="141">
        <f>INDEX('CHIRP Payment Calc'!AL:AL,MATCH(F:F,'CHIRP Payment Calc'!C:C,0))</f>
        <v>0</v>
      </c>
      <c r="P258" s="138">
        <f t="shared" si="29"/>
        <v>64793.116718937701</v>
      </c>
      <c r="Q258" s="139">
        <f t="shared" si="30"/>
        <v>3971.2451164051708</v>
      </c>
      <c r="R258" s="139">
        <f t="shared" si="31"/>
        <v>61846.637486160689</v>
      </c>
      <c r="S258" s="139">
        <f t="shared" si="32"/>
        <v>6917.7243491821882</v>
      </c>
      <c r="T258" s="139">
        <f t="shared" si="33"/>
        <v>0</v>
      </c>
      <c r="U258" s="139">
        <f t="shared" si="34"/>
        <v>0</v>
      </c>
      <c r="V258" s="140">
        <f t="shared" si="35"/>
        <v>68764.361835342876</v>
      </c>
    </row>
    <row r="259" spans="4:22">
      <c r="D259" s="9" t="s">
        <v>227</v>
      </c>
      <c r="E259" s="9" t="s">
        <v>2291</v>
      </c>
      <c r="F259" s="4" t="s">
        <v>1070</v>
      </c>
      <c r="G259" s="9" t="s">
        <v>2928</v>
      </c>
      <c r="H259" s="138">
        <v>108203.37527313903</v>
      </c>
      <c r="I259" s="139">
        <v>27327.477142519147</v>
      </c>
      <c r="J259" s="139">
        <v>15315.246210278514</v>
      </c>
      <c r="K259" s="139">
        <v>36330.402819917057</v>
      </c>
      <c r="L259" s="139">
        <f t="shared" si="27"/>
        <v>123518.62148341755</v>
      </c>
      <c r="M259" s="140">
        <f t="shared" si="28"/>
        <v>63657.8799624362</v>
      </c>
      <c r="N259" s="21">
        <f>INDEX('CHIRP Payment Calc'!AM:AM,MATCH(F:F,'CHIRP Payment Calc'!C:C,0))</f>
        <v>0.2</v>
      </c>
      <c r="O259" s="141">
        <f>INDEX('CHIRP Payment Calc'!AL:AL,MATCH(F:F,'CHIRP Payment Calc'!C:C,0))</f>
        <v>0</v>
      </c>
      <c r="P259" s="138">
        <f t="shared" si="29"/>
        <v>24703.724296683511</v>
      </c>
      <c r="Q259" s="139">
        <f t="shared" si="30"/>
        <v>1515.7671667034065</v>
      </c>
      <c r="R259" s="139">
        <f t="shared" si="31"/>
        <v>22960.928439923402</v>
      </c>
      <c r="S259" s="139">
        <f t="shared" si="32"/>
        <v>3258.5630234635137</v>
      </c>
      <c r="T259" s="139">
        <f t="shared" si="33"/>
        <v>0</v>
      </c>
      <c r="U259" s="139">
        <f t="shared" si="34"/>
        <v>0</v>
      </c>
      <c r="V259" s="140">
        <f t="shared" si="35"/>
        <v>26219.491463386916</v>
      </c>
    </row>
    <row r="260" spans="4:22">
      <c r="D260" s="9" t="s">
        <v>227</v>
      </c>
      <c r="E260" s="9" t="s">
        <v>2291</v>
      </c>
      <c r="F260" s="4" t="s">
        <v>717</v>
      </c>
      <c r="G260" s="9" t="s">
        <v>2947</v>
      </c>
      <c r="H260" s="138">
        <v>68156.902354798251</v>
      </c>
      <c r="I260" s="139">
        <v>17668.418305789164</v>
      </c>
      <c r="J260" s="139">
        <v>14452.202889990356</v>
      </c>
      <c r="K260" s="139">
        <v>239.61810249653055</v>
      </c>
      <c r="L260" s="139">
        <f t="shared" si="27"/>
        <v>82609.105244788603</v>
      </c>
      <c r="M260" s="140">
        <f t="shared" si="28"/>
        <v>17908.036408285694</v>
      </c>
      <c r="N260" s="21">
        <f>INDEX('CHIRP Payment Calc'!AM:AM,MATCH(F:F,'CHIRP Payment Calc'!C:C,0))</f>
        <v>0.2</v>
      </c>
      <c r="O260" s="141">
        <f>INDEX('CHIRP Payment Calc'!AL:AL,MATCH(F:F,'CHIRP Payment Calc'!C:C,0))</f>
        <v>0</v>
      </c>
      <c r="P260" s="138">
        <f t="shared" si="29"/>
        <v>16521.821048957721</v>
      </c>
      <c r="Q260" s="139">
        <f t="shared" si="30"/>
        <v>1016.1188883584402</v>
      </c>
      <c r="R260" s="139">
        <f t="shared" si="31"/>
        <v>14463.003152211832</v>
      </c>
      <c r="S260" s="139">
        <f t="shared" si="32"/>
        <v>3074.9367851043316</v>
      </c>
      <c r="T260" s="139">
        <f t="shared" si="33"/>
        <v>0</v>
      </c>
      <c r="U260" s="139">
        <f t="shared" si="34"/>
        <v>0</v>
      </c>
      <c r="V260" s="140">
        <f t="shared" si="35"/>
        <v>17537.939937316165</v>
      </c>
    </row>
    <row r="261" spans="4:22">
      <c r="D261" s="9" t="s">
        <v>227</v>
      </c>
      <c r="E261" s="9" t="s">
        <v>2291</v>
      </c>
      <c r="F261" s="4" t="s">
        <v>1156</v>
      </c>
      <c r="G261" s="9" t="s">
        <v>2925</v>
      </c>
      <c r="H261" s="138">
        <v>2791568.2178426497</v>
      </c>
      <c r="I261" s="139">
        <v>3973188.4519270188</v>
      </c>
      <c r="J261" s="139">
        <v>391808.51006493508</v>
      </c>
      <c r="K261" s="139">
        <v>344531.19203757547</v>
      </c>
      <c r="L261" s="139">
        <f t="shared" ref="L261:L324" si="36">H261+J261</f>
        <v>3183376.727907585</v>
      </c>
      <c r="M261" s="140">
        <f t="shared" ref="M261:M324" si="37">I261+K261</f>
        <v>4317719.6439645942</v>
      </c>
      <c r="N261" s="21">
        <f>INDEX('CHIRP Payment Calc'!AM:AM,MATCH(F:F,'CHIRP Payment Calc'!C:C,0))</f>
        <v>0.53</v>
      </c>
      <c r="O261" s="141">
        <f>INDEX('CHIRP Payment Calc'!AL:AL,MATCH(F:F,'CHIRP Payment Calc'!C:C,0))</f>
        <v>0</v>
      </c>
      <c r="P261" s="138">
        <f t="shared" ref="P261:P324" si="38">(L261*N261)+(M261*O261)</f>
        <v>1687189.66579102</v>
      </c>
      <c r="Q261" s="139">
        <f t="shared" ref="Q261:Q324" si="39">(R261+T261)*$B$10+(S261+U261)*$B$11</f>
        <v>103517.97247230733</v>
      </c>
      <c r="R261" s="139">
        <f t="shared" ref="R261:R324" si="40">H261/(1-$B$10)*N261</f>
        <v>1569794.3293969277</v>
      </c>
      <c r="S261" s="139">
        <f t="shared" ref="S261:S324" si="41">J261/(1-$B$11)*N261</f>
        <v>220913.30886639957</v>
      </c>
      <c r="T261" s="139">
        <f t="shared" ref="T261:T324" si="42">I261/(1-$B$10)*O261</f>
        <v>0</v>
      </c>
      <c r="U261" s="139">
        <f t="shared" ref="U261:U324" si="43">K261/(1-$B$11)*O261</f>
        <v>0</v>
      </c>
      <c r="V261" s="140">
        <f t="shared" ref="V261:V324" si="44">SUM(R261:U261)</f>
        <v>1790707.6382633273</v>
      </c>
    </row>
    <row r="262" spans="4:22">
      <c r="D262" s="9" t="s">
        <v>227</v>
      </c>
      <c r="E262" s="9" t="s">
        <v>2291</v>
      </c>
      <c r="F262" s="4" t="s">
        <v>107</v>
      </c>
      <c r="G262" s="9" t="s">
        <v>2591</v>
      </c>
      <c r="H262" s="138">
        <v>852200.22151921212</v>
      </c>
      <c r="I262" s="139">
        <v>180943.30488988737</v>
      </c>
      <c r="J262" s="139">
        <v>128483.33578240886</v>
      </c>
      <c r="K262" s="139">
        <v>65942.070671346955</v>
      </c>
      <c r="L262" s="139">
        <f t="shared" si="36"/>
        <v>980683.55730162095</v>
      </c>
      <c r="M262" s="140">
        <f t="shared" si="37"/>
        <v>246885.37556123431</v>
      </c>
      <c r="N262" s="21">
        <f>INDEX('CHIRP Payment Calc'!AM:AM,MATCH(F:F,'CHIRP Payment Calc'!C:C,0))</f>
        <v>0.2</v>
      </c>
      <c r="O262" s="141">
        <f>INDEX('CHIRP Payment Calc'!AL:AL,MATCH(F:F,'CHIRP Payment Calc'!C:C,0))</f>
        <v>0</v>
      </c>
      <c r="P262" s="138">
        <f t="shared" si="38"/>
        <v>196136.71146032421</v>
      </c>
      <c r="Q262" s="139">
        <f t="shared" si="39"/>
        <v>12038.411786581328</v>
      </c>
      <c r="R262" s="139">
        <f t="shared" si="40"/>
        <v>180838.24329320152</v>
      </c>
      <c r="S262" s="139">
        <f t="shared" si="41"/>
        <v>27336.879953704014</v>
      </c>
      <c r="T262" s="139">
        <f t="shared" si="42"/>
        <v>0</v>
      </c>
      <c r="U262" s="139">
        <f t="shared" si="43"/>
        <v>0</v>
      </c>
      <c r="V262" s="140">
        <f t="shared" si="44"/>
        <v>208175.12324690554</v>
      </c>
    </row>
    <row r="263" spans="4:22">
      <c r="D263" s="9" t="s">
        <v>227</v>
      </c>
      <c r="E263" s="9" t="s">
        <v>2291</v>
      </c>
      <c r="F263" s="4" t="s">
        <v>730</v>
      </c>
      <c r="G263" s="9" t="s">
        <v>2330</v>
      </c>
      <c r="H263" s="138">
        <v>177294.03452185958</v>
      </c>
      <c r="I263" s="139">
        <v>88872.677782756742</v>
      </c>
      <c r="J263" s="139">
        <v>99012.773621889428</v>
      </c>
      <c r="K263" s="139">
        <v>374.2163562531116</v>
      </c>
      <c r="L263" s="139">
        <f t="shared" si="36"/>
        <v>276306.80814374902</v>
      </c>
      <c r="M263" s="140">
        <f t="shared" si="37"/>
        <v>89246.894139009848</v>
      </c>
      <c r="N263" s="21">
        <f>INDEX('CHIRP Payment Calc'!AM:AM,MATCH(F:F,'CHIRP Payment Calc'!C:C,0))</f>
        <v>0.2</v>
      </c>
      <c r="O263" s="141">
        <f>INDEX('CHIRP Payment Calc'!AL:AL,MATCH(F:F,'CHIRP Payment Calc'!C:C,0))</f>
        <v>0</v>
      </c>
      <c r="P263" s="138">
        <f t="shared" si="38"/>
        <v>55261.361628749808</v>
      </c>
      <c r="Q263" s="139">
        <f t="shared" si="39"/>
        <v>3427.2622414863954</v>
      </c>
      <c r="R263" s="139">
        <f t="shared" si="40"/>
        <v>37622.076291110789</v>
      </c>
      <c r="S263" s="139">
        <f t="shared" si="41"/>
        <v>21066.547579125414</v>
      </c>
      <c r="T263" s="139">
        <f t="shared" si="42"/>
        <v>0</v>
      </c>
      <c r="U263" s="139">
        <f t="shared" si="43"/>
        <v>0</v>
      </c>
      <c r="V263" s="140">
        <f t="shared" si="44"/>
        <v>58688.623870236202</v>
      </c>
    </row>
    <row r="264" spans="4:22">
      <c r="D264" s="9" t="s">
        <v>227</v>
      </c>
      <c r="E264" s="9" t="s">
        <v>2291</v>
      </c>
      <c r="F264" s="4" t="s">
        <v>348</v>
      </c>
      <c r="G264" s="9" t="s">
        <v>2600</v>
      </c>
      <c r="H264" s="138">
        <v>139331.64510996835</v>
      </c>
      <c r="I264" s="139">
        <v>31430.265081220216</v>
      </c>
      <c r="J264" s="139">
        <v>26141.347383840533</v>
      </c>
      <c r="K264" s="139">
        <v>11724.109974131175</v>
      </c>
      <c r="L264" s="139">
        <f t="shared" si="36"/>
        <v>165472.99249380888</v>
      </c>
      <c r="M264" s="140">
        <f t="shared" si="37"/>
        <v>43154.375055351389</v>
      </c>
      <c r="N264" s="21">
        <f>INDEX('CHIRP Payment Calc'!AM:AM,MATCH(F:F,'CHIRP Payment Calc'!C:C,0))</f>
        <v>0.26</v>
      </c>
      <c r="O264" s="141">
        <f>INDEX('CHIRP Payment Calc'!AL:AL,MATCH(F:F,'CHIRP Payment Calc'!C:C,0))</f>
        <v>0</v>
      </c>
      <c r="P264" s="138">
        <f t="shared" si="38"/>
        <v>43022.978048390309</v>
      </c>
      <c r="Q264" s="139">
        <f t="shared" si="39"/>
        <v>2643.9232906089428</v>
      </c>
      <c r="R264" s="139">
        <f t="shared" si="40"/>
        <v>38436.315892405066</v>
      </c>
      <c r="S264" s="139">
        <f t="shared" si="41"/>
        <v>7230.5854465941902</v>
      </c>
      <c r="T264" s="139">
        <f t="shared" si="42"/>
        <v>0</v>
      </c>
      <c r="U264" s="139">
        <f t="shared" si="43"/>
        <v>0</v>
      </c>
      <c r="V264" s="140">
        <f t="shared" si="44"/>
        <v>45666.901338999254</v>
      </c>
    </row>
    <row r="265" spans="4:22">
      <c r="D265" s="9" t="s">
        <v>227</v>
      </c>
      <c r="E265" s="9" t="s">
        <v>2291</v>
      </c>
      <c r="F265" s="4" t="s">
        <v>498</v>
      </c>
      <c r="G265" s="9" t="s">
        <v>2892</v>
      </c>
      <c r="H265" s="138">
        <v>1009607.2135913981</v>
      </c>
      <c r="I265" s="139">
        <v>2030148.0698403977</v>
      </c>
      <c r="J265" s="139">
        <v>105409.69212104182</v>
      </c>
      <c r="K265" s="139">
        <v>78761.606639681049</v>
      </c>
      <c r="L265" s="139">
        <f t="shared" si="36"/>
        <v>1115016.9057124399</v>
      </c>
      <c r="M265" s="140">
        <f t="shared" si="37"/>
        <v>2108909.6764800786</v>
      </c>
      <c r="N265" s="21">
        <f>INDEX('CHIRP Payment Calc'!AM:AM,MATCH(F:F,'CHIRP Payment Calc'!C:C,0))</f>
        <v>0.2</v>
      </c>
      <c r="O265" s="141">
        <f>INDEX('CHIRP Payment Calc'!AL:AL,MATCH(F:F,'CHIRP Payment Calc'!C:C,0))</f>
        <v>0</v>
      </c>
      <c r="P265" s="138">
        <f t="shared" si="38"/>
        <v>223003.38114248798</v>
      </c>
      <c r="Q265" s="139">
        <f t="shared" si="39"/>
        <v>13664.470451844907</v>
      </c>
      <c r="R265" s="139">
        <f t="shared" si="40"/>
        <v>214240.25752602611</v>
      </c>
      <c r="S265" s="139">
        <f t="shared" si="41"/>
        <v>22427.594068306775</v>
      </c>
      <c r="T265" s="139">
        <f t="shared" si="42"/>
        <v>0</v>
      </c>
      <c r="U265" s="139">
        <f t="shared" si="43"/>
        <v>0</v>
      </c>
      <c r="V265" s="140">
        <f t="shared" si="44"/>
        <v>236667.8515943329</v>
      </c>
    </row>
    <row r="266" spans="4:22">
      <c r="D266" s="9" t="s">
        <v>227</v>
      </c>
      <c r="E266" s="9" t="s">
        <v>2291</v>
      </c>
      <c r="F266" s="4" t="s">
        <v>2543</v>
      </c>
      <c r="G266" s="9" t="s">
        <v>2948</v>
      </c>
      <c r="H266" s="138">
        <v>664739.88655434293</v>
      </c>
      <c r="I266" s="139">
        <v>1355831.2835294374</v>
      </c>
      <c r="J266" s="139">
        <v>0</v>
      </c>
      <c r="K266" s="139">
        <v>0</v>
      </c>
      <c r="L266" s="139">
        <f t="shared" si="36"/>
        <v>664739.88655434293</v>
      </c>
      <c r="M266" s="140">
        <f t="shared" si="37"/>
        <v>1355831.2835294374</v>
      </c>
      <c r="N266" s="21">
        <f>INDEX('CHIRP Payment Calc'!AM:AM,MATCH(F:F,'CHIRP Payment Calc'!C:C,0))</f>
        <v>3.6500000000000004</v>
      </c>
      <c r="O266" s="141">
        <f>INDEX('CHIRP Payment Calc'!AL:AL,MATCH(F:F,'CHIRP Payment Calc'!C:C,0))</f>
        <v>0</v>
      </c>
      <c r="P266" s="138">
        <f t="shared" si="38"/>
        <v>2426300.5859233518</v>
      </c>
      <c r="Q266" s="139">
        <f t="shared" si="39"/>
        <v>148023.64317304268</v>
      </c>
      <c r="R266" s="139">
        <f t="shared" si="40"/>
        <v>2574324.2290963945</v>
      </c>
      <c r="S266" s="139">
        <f t="shared" si="41"/>
        <v>0</v>
      </c>
      <c r="T266" s="139">
        <f t="shared" si="42"/>
        <v>0</v>
      </c>
      <c r="U266" s="139">
        <f t="shared" si="43"/>
        <v>0</v>
      </c>
      <c r="V266" s="140">
        <f t="shared" si="44"/>
        <v>2574324.2290963945</v>
      </c>
    </row>
    <row r="267" spans="4:22">
      <c r="D267" s="9" t="s">
        <v>227</v>
      </c>
      <c r="E267" s="9" t="s">
        <v>2291</v>
      </c>
      <c r="F267" s="4" t="s">
        <v>742</v>
      </c>
      <c r="G267" s="9" t="s">
        <v>2685</v>
      </c>
      <c r="H267" s="138">
        <v>10350.34246191157</v>
      </c>
      <c r="I267" s="139">
        <v>184128.68178333761</v>
      </c>
      <c r="J267" s="139">
        <v>932.25354177640838</v>
      </c>
      <c r="K267" s="139">
        <v>53900.379251616825</v>
      </c>
      <c r="L267" s="139">
        <f t="shared" si="36"/>
        <v>11282.596003687979</v>
      </c>
      <c r="M267" s="140">
        <f t="shared" si="37"/>
        <v>238029.06103495444</v>
      </c>
      <c r="N267" s="21">
        <f>INDEX('CHIRP Payment Calc'!AM:AM,MATCH(F:F,'CHIRP Payment Calc'!C:C,0))</f>
        <v>0.22</v>
      </c>
      <c r="O267" s="141">
        <f>INDEX('CHIRP Payment Calc'!AL:AL,MATCH(F:F,'CHIRP Payment Calc'!C:C,0))</f>
        <v>0</v>
      </c>
      <c r="P267" s="138">
        <f t="shared" si="38"/>
        <v>2482.1711208113552</v>
      </c>
      <c r="Q267" s="139">
        <f t="shared" si="39"/>
        <v>152.01093575013351</v>
      </c>
      <c r="R267" s="139">
        <f t="shared" si="40"/>
        <v>2415.9950574223294</v>
      </c>
      <c r="S267" s="139">
        <f t="shared" si="41"/>
        <v>218.18699913915944</v>
      </c>
      <c r="T267" s="139">
        <f t="shared" si="42"/>
        <v>0</v>
      </c>
      <c r="U267" s="139">
        <f t="shared" si="43"/>
        <v>0</v>
      </c>
      <c r="V267" s="140">
        <f t="shared" si="44"/>
        <v>2634.1820565614889</v>
      </c>
    </row>
    <row r="268" spans="4:22">
      <c r="D268" s="9" t="s">
        <v>227</v>
      </c>
      <c r="E268" s="9" t="s">
        <v>2291</v>
      </c>
      <c r="F268" s="4" t="s">
        <v>893</v>
      </c>
      <c r="G268" s="9" t="s">
        <v>2456</v>
      </c>
      <c r="H268" s="138">
        <v>49608.748952302638</v>
      </c>
      <c r="I268" s="139">
        <v>320719.38607649633</v>
      </c>
      <c r="J268" s="139">
        <v>34895.739749974564</v>
      </c>
      <c r="K268" s="139">
        <v>87911.407091726476</v>
      </c>
      <c r="L268" s="139">
        <f t="shared" si="36"/>
        <v>84504.488702277202</v>
      </c>
      <c r="M268" s="140">
        <f t="shared" si="37"/>
        <v>408630.79316822282</v>
      </c>
      <c r="N268" s="21">
        <f>INDEX('CHIRP Payment Calc'!AM:AM,MATCH(F:F,'CHIRP Payment Calc'!C:C,0))</f>
        <v>0.30000000000000004</v>
      </c>
      <c r="O268" s="141">
        <f>INDEX('CHIRP Payment Calc'!AL:AL,MATCH(F:F,'CHIRP Payment Calc'!C:C,0))</f>
        <v>0</v>
      </c>
      <c r="P268" s="138">
        <f t="shared" si="38"/>
        <v>25351.346610683166</v>
      </c>
      <c r="Q268" s="139">
        <f t="shared" si="39"/>
        <v>1576.1748282859146</v>
      </c>
      <c r="R268" s="139">
        <f t="shared" si="40"/>
        <v>15790.583220892087</v>
      </c>
      <c r="S268" s="139">
        <f t="shared" si="41"/>
        <v>11136.938218076992</v>
      </c>
      <c r="T268" s="139">
        <f t="shared" si="42"/>
        <v>0</v>
      </c>
      <c r="U268" s="139">
        <f t="shared" si="43"/>
        <v>0</v>
      </c>
      <c r="V268" s="140">
        <f t="shared" si="44"/>
        <v>26927.521438969081</v>
      </c>
    </row>
    <row r="269" spans="4:22">
      <c r="D269" s="9" t="s">
        <v>227</v>
      </c>
      <c r="E269" s="9" t="s">
        <v>2291</v>
      </c>
      <c r="F269" s="4" t="s">
        <v>513</v>
      </c>
      <c r="G269" s="9" t="s">
        <v>2683</v>
      </c>
      <c r="H269" s="138">
        <v>245623.40835677995</v>
      </c>
      <c r="I269" s="139">
        <v>352171.16417690378</v>
      </c>
      <c r="J269" s="139">
        <v>38324.538407737346</v>
      </c>
      <c r="K269" s="139">
        <v>62109.750468685554</v>
      </c>
      <c r="L269" s="139">
        <f t="shared" si="36"/>
        <v>283947.94676451728</v>
      </c>
      <c r="M269" s="140">
        <f t="shared" si="37"/>
        <v>414280.91464558931</v>
      </c>
      <c r="N269" s="21">
        <f>INDEX('CHIRP Payment Calc'!AM:AM,MATCH(F:F,'CHIRP Payment Calc'!C:C,0))</f>
        <v>0.21000000000000002</v>
      </c>
      <c r="O269" s="141">
        <f>INDEX('CHIRP Payment Calc'!AL:AL,MATCH(F:F,'CHIRP Payment Calc'!C:C,0))</f>
        <v>0</v>
      </c>
      <c r="P269" s="138">
        <f t="shared" si="38"/>
        <v>59629.068820548637</v>
      </c>
      <c r="Q269" s="139">
        <f t="shared" si="39"/>
        <v>3660.5582170717494</v>
      </c>
      <c r="R269" s="139">
        <f t="shared" si="40"/>
        <v>54727.762074189704</v>
      </c>
      <c r="S269" s="139">
        <f t="shared" si="41"/>
        <v>8561.8649634306839</v>
      </c>
      <c r="T269" s="139">
        <f t="shared" si="42"/>
        <v>0</v>
      </c>
      <c r="U269" s="139">
        <f t="shared" si="43"/>
        <v>0</v>
      </c>
      <c r="V269" s="140">
        <f t="shared" si="44"/>
        <v>63289.62703762039</v>
      </c>
    </row>
    <row r="270" spans="4:22">
      <c r="D270" s="9" t="s">
        <v>227</v>
      </c>
      <c r="E270" s="9" t="s">
        <v>2291</v>
      </c>
      <c r="F270" s="4" t="s">
        <v>927</v>
      </c>
      <c r="G270" s="9" t="s">
        <v>2862</v>
      </c>
      <c r="H270" s="138">
        <v>64491.70983984819</v>
      </c>
      <c r="I270" s="139">
        <v>424.80752659109817</v>
      </c>
      <c r="J270" s="139">
        <v>7632.6372618123542</v>
      </c>
      <c r="K270" s="139">
        <v>7988.7464090425337</v>
      </c>
      <c r="L270" s="139">
        <f t="shared" si="36"/>
        <v>72124.347101660547</v>
      </c>
      <c r="M270" s="140">
        <f t="shared" si="37"/>
        <v>8413.5539356336321</v>
      </c>
      <c r="N270" s="21">
        <f>INDEX('CHIRP Payment Calc'!AM:AM,MATCH(F:F,'CHIRP Payment Calc'!C:C,0))</f>
        <v>0.2</v>
      </c>
      <c r="O270" s="141">
        <f>INDEX('CHIRP Payment Calc'!AL:AL,MATCH(F:F,'CHIRP Payment Calc'!C:C,0))</f>
        <v>0</v>
      </c>
      <c r="P270" s="138">
        <f t="shared" si="38"/>
        <v>14424.86942033211</v>
      </c>
      <c r="Q270" s="139">
        <f t="shared" si="39"/>
        <v>884.3394218633747</v>
      </c>
      <c r="R270" s="139">
        <f t="shared" si="40"/>
        <v>13685.243467341792</v>
      </c>
      <c r="S270" s="139">
        <f t="shared" si="41"/>
        <v>1623.9653748536925</v>
      </c>
      <c r="T270" s="139">
        <f t="shared" si="42"/>
        <v>0</v>
      </c>
      <c r="U270" s="139">
        <f t="shared" si="43"/>
        <v>0</v>
      </c>
      <c r="V270" s="140">
        <f t="shared" si="44"/>
        <v>15309.208842195485</v>
      </c>
    </row>
    <row r="271" spans="4:22">
      <c r="D271" s="9" t="s">
        <v>227</v>
      </c>
      <c r="E271" s="9" t="s">
        <v>2291</v>
      </c>
      <c r="F271" s="4" t="s">
        <v>501</v>
      </c>
      <c r="G271" s="9" t="s">
        <v>2689</v>
      </c>
      <c r="H271" s="138">
        <v>158489.31707081338</v>
      </c>
      <c r="I271" s="139">
        <v>4017.1244841666189</v>
      </c>
      <c r="J271" s="139">
        <v>40660.356956638396</v>
      </c>
      <c r="K271" s="139">
        <v>35555.089796485008</v>
      </c>
      <c r="L271" s="139">
        <f t="shared" si="36"/>
        <v>199149.67402745178</v>
      </c>
      <c r="M271" s="140">
        <f t="shared" si="37"/>
        <v>39572.214280651628</v>
      </c>
      <c r="N271" s="21">
        <f>INDEX('CHIRP Payment Calc'!AM:AM,MATCH(F:F,'CHIRP Payment Calc'!C:C,0))</f>
        <v>0.2</v>
      </c>
      <c r="O271" s="141">
        <f>INDEX('CHIRP Payment Calc'!AL:AL,MATCH(F:F,'CHIRP Payment Calc'!C:C,0))</f>
        <v>0</v>
      </c>
      <c r="P271" s="138">
        <f t="shared" si="38"/>
        <v>39829.93480549036</v>
      </c>
      <c r="Q271" s="139">
        <f t="shared" si="39"/>
        <v>2452.890292584314</v>
      </c>
      <c r="R271" s="139">
        <f t="shared" si="40"/>
        <v>33631.685320066499</v>
      </c>
      <c r="S271" s="139">
        <f t="shared" si="41"/>
        <v>8651.1397780081697</v>
      </c>
      <c r="T271" s="139">
        <f t="shared" si="42"/>
        <v>0</v>
      </c>
      <c r="U271" s="139">
        <f t="shared" si="43"/>
        <v>0</v>
      </c>
      <c r="V271" s="140">
        <f t="shared" si="44"/>
        <v>42282.825098074667</v>
      </c>
    </row>
    <row r="272" spans="4:22">
      <c r="D272" s="9" t="s">
        <v>227</v>
      </c>
      <c r="E272" s="9" t="s">
        <v>2291</v>
      </c>
      <c r="F272" s="4" t="s">
        <v>942</v>
      </c>
      <c r="G272" s="9" t="s">
        <v>2682</v>
      </c>
      <c r="H272" s="138">
        <v>303342.37736827519</v>
      </c>
      <c r="I272" s="139">
        <v>533280.81602902699</v>
      </c>
      <c r="J272" s="139">
        <v>44038.311016815831</v>
      </c>
      <c r="K272" s="139">
        <v>57877.374726045615</v>
      </c>
      <c r="L272" s="139">
        <f t="shared" si="36"/>
        <v>347380.68838509102</v>
      </c>
      <c r="M272" s="140">
        <f t="shared" si="37"/>
        <v>591158.19075507263</v>
      </c>
      <c r="N272" s="21">
        <f>INDEX('CHIRP Payment Calc'!AM:AM,MATCH(F:F,'CHIRP Payment Calc'!C:C,0))</f>
        <v>0.21000000000000002</v>
      </c>
      <c r="O272" s="141">
        <f>INDEX('CHIRP Payment Calc'!AL:AL,MATCH(F:F,'CHIRP Payment Calc'!C:C,0))</f>
        <v>0</v>
      </c>
      <c r="P272" s="138">
        <f t="shared" si="38"/>
        <v>72949.944560869117</v>
      </c>
      <c r="Q272" s="139">
        <f t="shared" si="39"/>
        <v>4476.6235304461925</v>
      </c>
      <c r="R272" s="139">
        <f t="shared" si="40"/>
        <v>67588.22201309049</v>
      </c>
      <c r="S272" s="139">
        <f t="shared" si="41"/>
        <v>9838.3460782248148</v>
      </c>
      <c r="T272" s="139">
        <f t="shared" si="42"/>
        <v>0</v>
      </c>
      <c r="U272" s="139">
        <f t="shared" si="43"/>
        <v>0</v>
      </c>
      <c r="V272" s="140">
        <f t="shared" si="44"/>
        <v>77426.568091315305</v>
      </c>
    </row>
    <row r="273" spans="4:22">
      <c r="D273" s="9" t="s">
        <v>227</v>
      </c>
      <c r="E273" s="9" t="s">
        <v>2291</v>
      </c>
      <c r="F273" s="4" t="s">
        <v>993</v>
      </c>
      <c r="G273" s="9" t="s">
        <v>2866</v>
      </c>
      <c r="H273" s="138">
        <v>1041638.5822057731</v>
      </c>
      <c r="I273" s="139">
        <v>1944065.0603289718</v>
      </c>
      <c r="J273" s="139">
        <v>212213.39964858352</v>
      </c>
      <c r="K273" s="139">
        <v>347119.66853464436</v>
      </c>
      <c r="L273" s="139">
        <f t="shared" si="36"/>
        <v>1253851.9818543566</v>
      </c>
      <c r="M273" s="140">
        <f t="shared" si="37"/>
        <v>2291184.728863616</v>
      </c>
      <c r="N273" s="21">
        <f>INDEX('CHIRP Payment Calc'!AM:AM,MATCH(F:F,'CHIRP Payment Calc'!C:C,0))</f>
        <v>0.2</v>
      </c>
      <c r="O273" s="141">
        <f>INDEX('CHIRP Payment Calc'!AL:AL,MATCH(F:F,'CHIRP Payment Calc'!C:C,0))</f>
        <v>0</v>
      </c>
      <c r="P273" s="138">
        <f t="shared" si="38"/>
        <v>250770.39637087134</v>
      </c>
      <c r="Q273" s="139">
        <f t="shared" si="39"/>
        <v>15418.755712703753</v>
      </c>
      <c r="R273" s="139">
        <f t="shared" si="40"/>
        <v>221037.364924302</v>
      </c>
      <c r="S273" s="139">
        <f t="shared" si="41"/>
        <v>45151.787159273095</v>
      </c>
      <c r="T273" s="139">
        <f t="shared" si="42"/>
        <v>0</v>
      </c>
      <c r="U273" s="139">
        <f t="shared" si="43"/>
        <v>0</v>
      </c>
      <c r="V273" s="140">
        <f t="shared" si="44"/>
        <v>266189.15208357509</v>
      </c>
    </row>
    <row r="274" spans="4:22">
      <c r="D274" s="9" t="s">
        <v>227</v>
      </c>
      <c r="E274" s="9" t="s">
        <v>2291</v>
      </c>
      <c r="F274" s="4" t="s">
        <v>1604</v>
      </c>
      <c r="G274" s="9" t="s">
        <v>2784</v>
      </c>
      <c r="H274" s="138">
        <v>295408.07360875868</v>
      </c>
      <c r="I274" s="139">
        <v>0</v>
      </c>
      <c r="J274" s="139">
        <v>104309.33595995636</v>
      </c>
      <c r="K274" s="139">
        <v>13341.695015561627</v>
      </c>
      <c r="L274" s="139">
        <f t="shared" si="36"/>
        <v>399717.40956871503</v>
      </c>
      <c r="M274" s="140">
        <f t="shared" si="37"/>
        <v>13341.695015561627</v>
      </c>
      <c r="N274" s="21">
        <f>INDEX('CHIRP Payment Calc'!AM:AM,MATCH(F:F,'CHIRP Payment Calc'!C:C,0))</f>
        <v>0.2</v>
      </c>
      <c r="O274" s="141">
        <f>INDEX('CHIRP Payment Calc'!AL:AL,MATCH(F:F,'CHIRP Payment Calc'!C:C,0))</f>
        <v>0</v>
      </c>
      <c r="P274" s="138">
        <f t="shared" si="38"/>
        <v>79943.481913743017</v>
      </c>
      <c r="Q274" s="139">
        <f t="shared" si="39"/>
        <v>4936.0571876717513</v>
      </c>
      <c r="R274" s="139">
        <f t="shared" si="40"/>
        <v>62686.063365253831</v>
      </c>
      <c r="S274" s="139">
        <f t="shared" si="41"/>
        <v>22193.47573616093</v>
      </c>
      <c r="T274" s="139">
        <f t="shared" si="42"/>
        <v>0</v>
      </c>
      <c r="U274" s="139">
        <f t="shared" si="43"/>
        <v>0</v>
      </c>
      <c r="V274" s="140">
        <f t="shared" si="44"/>
        <v>84879.539101414761</v>
      </c>
    </row>
    <row r="275" spans="4:22">
      <c r="D275" s="9" t="s">
        <v>227</v>
      </c>
      <c r="E275" s="9" t="s">
        <v>2291</v>
      </c>
      <c r="F275" s="4" t="s">
        <v>1919</v>
      </c>
      <c r="G275" s="9" t="s">
        <v>2888</v>
      </c>
      <c r="H275" s="138">
        <v>783500.23127119441</v>
      </c>
      <c r="I275" s="139">
        <v>1383057.6141052286</v>
      </c>
      <c r="J275" s="139">
        <v>98851.77395812991</v>
      </c>
      <c r="K275" s="139">
        <v>672033.14310876327</v>
      </c>
      <c r="L275" s="139">
        <f t="shared" si="36"/>
        <v>882352.00522932434</v>
      </c>
      <c r="M275" s="140">
        <f t="shared" si="37"/>
        <v>2055090.7572139918</v>
      </c>
      <c r="N275" s="21">
        <f>INDEX('CHIRP Payment Calc'!AM:AM,MATCH(F:F,'CHIRP Payment Calc'!C:C,0))</f>
        <v>1.44</v>
      </c>
      <c r="O275" s="141">
        <f>INDEX('CHIRP Payment Calc'!AL:AL,MATCH(F:F,'CHIRP Payment Calc'!C:C,0))</f>
        <v>0</v>
      </c>
      <c r="P275" s="138">
        <f t="shared" si="38"/>
        <v>1270586.887530227</v>
      </c>
      <c r="Q275" s="139">
        <f t="shared" si="39"/>
        <v>77917.588641862443</v>
      </c>
      <c r="R275" s="139">
        <f t="shared" si="40"/>
        <v>1197071.971385167</v>
      </c>
      <c r="S275" s="139">
        <f t="shared" si="41"/>
        <v>151432.50478692242</v>
      </c>
      <c r="T275" s="139">
        <f t="shared" si="42"/>
        <v>0</v>
      </c>
      <c r="U275" s="139">
        <f t="shared" si="43"/>
        <v>0</v>
      </c>
      <c r="V275" s="140">
        <f t="shared" si="44"/>
        <v>1348504.4761720893</v>
      </c>
    </row>
    <row r="276" spans="4:22">
      <c r="D276" s="9" t="s">
        <v>227</v>
      </c>
      <c r="E276" s="9" t="s">
        <v>2291</v>
      </c>
      <c r="F276" s="4" t="s">
        <v>987</v>
      </c>
      <c r="G276" s="9" t="s">
        <v>1900</v>
      </c>
      <c r="H276" s="138">
        <v>111019.898965659</v>
      </c>
      <c r="I276" s="139">
        <v>4740.1521476468461</v>
      </c>
      <c r="J276" s="139">
        <v>6345.5926155304105</v>
      </c>
      <c r="K276" s="139">
        <v>0</v>
      </c>
      <c r="L276" s="139">
        <f t="shared" si="36"/>
        <v>117365.4915811894</v>
      </c>
      <c r="M276" s="140">
        <f t="shared" si="37"/>
        <v>4740.1521476468461</v>
      </c>
      <c r="N276" s="21">
        <f>INDEX('CHIRP Payment Calc'!AM:AM,MATCH(F:F,'CHIRP Payment Calc'!C:C,0))</f>
        <v>0.2</v>
      </c>
      <c r="O276" s="141">
        <f>INDEX('CHIRP Payment Calc'!AL:AL,MATCH(F:F,'CHIRP Payment Calc'!C:C,0))</f>
        <v>0</v>
      </c>
      <c r="P276" s="138">
        <f t="shared" si="38"/>
        <v>23473.098316237883</v>
      </c>
      <c r="Q276" s="139">
        <f t="shared" si="39"/>
        <v>1435.6270221800585</v>
      </c>
      <c r="R276" s="139">
        <f t="shared" si="40"/>
        <v>23558.599250007217</v>
      </c>
      <c r="S276" s="139">
        <f t="shared" si="41"/>
        <v>1350.126088410726</v>
      </c>
      <c r="T276" s="139">
        <f t="shared" si="42"/>
        <v>0</v>
      </c>
      <c r="U276" s="139">
        <f t="shared" si="43"/>
        <v>0</v>
      </c>
      <c r="V276" s="140">
        <f t="shared" si="44"/>
        <v>24908.725338417942</v>
      </c>
    </row>
    <row r="277" spans="4:22">
      <c r="D277" s="9" t="s">
        <v>227</v>
      </c>
      <c r="E277" s="9" t="s">
        <v>2291</v>
      </c>
      <c r="F277" s="4" t="s">
        <v>675</v>
      </c>
      <c r="G277" s="9" t="s">
        <v>2924</v>
      </c>
      <c r="H277" s="138">
        <v>192517.91508279202</v>
      </c>
      <c r="I277" s="139">
        <v>12591.566354993523</v>
      </c>
      <c r="J277" s="139">
        <v>70965.257937828705</v>
      </c>
      <c r="K277" s="139">
        <v>15138.512011403873</v>
      </c>
      <c r="L277" s="139">
        <f t="shared" si="36"/>
        <v>263483.17302062071</v>
      </c>
      <c r="M277" s="140">
        <f t="shared" si="37"/>
        <v>27730.078366397396</v>
      </c>
      <c r="N277" s="21">
        <f>INDEX('CHIRP Payment Calc'!AM:AM,MATCH(F:F,'CHIRP Payment Calc'!C:C,0))</f>
        <v>0.2</v>
      </c>
      <c r="O277" s="141">
        <f>INDEX('CHIRP Payment Calc'!AL:AL,MATCH(F:F,'CHIRP Payment Calc'!C:C,0))</f>
        <v>0</v>
      </c>
      <c r="P277" s="138">
        <f t="shared" si="38"/>
        <v>52696.634604124149</v>
      </c>
      <c r="Q277" s="139">
        <f t="shared" si="39"/>
        <v>3254.9644216059874</v>
      </c>
      <c r="R277" s="139">
        <f t="shared" si="40"/>
        <v>40852.607975128281</v>
      </c>
      <c r="S277" s="139">
        <f t="shared" si="41"/>
        <v>15098.991050601853</v>
      </c>
      <c r="T277" s="139">
        <f t="shared" si="42"/>
        <v>0</v>
      </c>
      <c r="U277" s="139">
        <f t="shared" si="43"/>
        <v>0</v>
      </c>
      <c r="V277" s="140">
        <f t="shared" si="44"/>
        <v>55951.599025730131</v>
      </c>
    </row>
    <row r="278" spans="4:22">
      <c r="D278" s="9" t="s">
        <v>227</v>
      </c>
      <c r="E278" s="9" t="s">
        <v>2291</v>
      </c>
      <c r="F278" s="4" t="s">
        <v>621</v>
      </c>
      <c r="G278" s="9" t="s">
        <v>2886</v>
      </c>
      <c r="H278" s="138">
        <v>436935.95620341046</v>
      </c>
      <c r="I278" s="139">
        <v>65095.546758033466</v>
      </c>
      <c r="J278" s="139">
        <v>127378.80176792067</v>
      </c>
      <c r="K278" s="139">
        <v>257978.17851760177</v>
      </c>
      <c r="L278" s="139">
        <f t="shared" si="36"/>
        <v>564314.75797133113</v>
      </c>
      <c r="M278" s="140">
        <f t="shared" si="37"/>
        <v>323073.72527563525</v>
      </c>
      <c r="N278" s="21">
        <f>INDEX('CHIRP Payment Calc'!AM:AM,MATCH(F:F,'CHIRP Payment Calc'!C:C,0))</f>
        <v>0.2</v>
      </c>
      <c r="O278" s="141">
        <f>INDEX('CHIRP Payment Calc'!AL:AL,MATCH(F:F,'CHIRP Payment Calc'!C:C,0))</f>
        <v>0</v>
      </c>
      <c r="P278" s="138">
        <f t="shared" si="38"/>
        <v>112862.95159426623</v>
      </c>
      <c r="Q278" s="139">
        <f t="shared" si="39"/>
        <v>6957.4264174660539</v>
      </c>
      <c r="R278" s="139">
        <f t="shared" si="40"/>
        <v>92718.505295153416</v>
      </c>
      <c r="S278" s="139">
        <f t="shared" si="41"/>
        <v>27101.872716578866</v>
      </c>
      <c r="T278" s="139">
        <f t="shared" si="42"/>
        <v>0</v>
      </c>
      <c r="U278" s="139">
        <f t="shared" si="43"/>
        <v>0</v>
      </c>
      <c r="V278" s="140">
        <f t="shared" si="44"/>
        <v>119820.37801173227</v>
      </c>
    </row>
    <row r="279" spans="4:22">
      <c r="D279" s="9" t="s">
        <v>227</v>
      </c>
      <c r="E279" s="9" t="s">
        <v>2291</v>
      </c>
      <c r="F279" s="4" t="s">
        <v>651</v>
      </c>
      <c r="G279" s="9" t="s">
        <v>2341</v>
      </c>
      <c r="H279" s="138">
        <v>89899.099707218207</v>
      </c>
      <c r="I279" s="139">
        <v>0</v>
      </c>
      <c r="J279" s="139">
        <v>31588.635951893499</v>
      </c>
      <c r="K279" s="139">
        <v>18354.364425955115</v>
      </c>
      <c r="L279" s="139">
        <f t="shared" si="36"/>
        <v>121487.7356591117</v>
      </c>
      <c r="M279" s="140">
        <f t="shared" si="37"/>
        <v>18354.364425955115</v>
      </c>
      <c r="N279" s="21">
        <f>INDEX('CHIRP Payment Calc'!AM:AM,MATCH(F:F,'CHIRP Payment Calc'!C:C,0))</f>
        <v>0.2</v>
      </c>
      <c r="O279" s="141">
        <f>INDEX('CHIRP Payment Calc'!AL:AL,MATCH(F:F,'CHIRP Payment Calc'!C:C,0))</f>
        <v>0</v>
      </c>
      <c r="P279" s="138">
        <f t="shared" si="38"/>
        <v>24297.547131822343</v>
      </c>
      <c r="Q279" s="139">
        <f t="shared" si="39"/>
        <v>1500.1712742829104</v>
      </c>
      <c r="R279" s="139">
        <f t="shared" si="40"/>
        <v>19076.732033361954</v>
      </c>
      <c r="S279" s="139">
        <f t="shared" si="41"/>
        <v>6720.9863727432985</v>
      </c>
      <c r="T279" s="139">
        <f t="shared" si="42"/>
        <v>0</v>
      </c>
      <c r="U279" s="139">
        <f t="shared" si="43"/>
        <v>0</v>
      </c>
      <c r="V279" s="140">
        <f t="shared" si="44"/>
        <v>25797.718406105254</v>
      </c>
    </row>
    <row r="280" spans="4:22">
      <c r="D280" s="9" t="s">
        <v>227</v>
      </c>
      <c r="E280" s="9" t="s">
        <v>2291</v>
      </c>
      <c r="F280" s="4" t="s">
        <v>588</v>
      </c>
      <c r="G280" s="9" t="s">
        <v>2675</v>
      </c>
      <c r="H280" s="138">
        <v>1008742.1147394534</v>
      </c>
      <c r="I280" s="139">
        <v>1325245.3553093127</v>
      </c>
      <c r="J280" s="139">
        <v>178166.07460402884</v>
      </c>
      <c r="K280" s="139">
        <v>148695.11506038666</v>
      </c>
      <c r="L280" s="139">
        <f t="shared" si="36"/>
        <v>1186908.1893434823</v>
      </c>
      <c r="M280" s="140">
        <f t="shared" si="37"/>
        <v>1473940.4703696994</v>
      </c>
      <c r="N280" s="21">
        <f>INDEX('CHIRP Payment Calc'!AM:AM,MATCH(F:F,'CHIRP Payment Calc'!C:C,0))</f>
        <v>0.2</v>
      </c>
      <c r="O280" s="141">
        <f>INDEX('CHIRP Payment Calc'!AL:AL,MATCH(F:F,'CHIRP Payment Calc'!C:C,0))</f>
        <v>0</v>
      </c>
      <c r="P280" s="138">
        <f t="shared" si="38"/>
        <v>237381.63786869647</v>
      </c>
      <c r="Q280" s="139">
        <f t="shared" si="39"/>
        <v>14582.719751797571</v>
      </c>
      <c r="R280" s="139">
        <f t="shared" si="40"/>
        <v>214056.68217282832</v>
      </c>
      <c r="S280" s="139">
        <f t="shared" si="41"/>
        <v>37907.675447665715</v>
      </c>
      <c r="T280" s="139">
        <f t="shared" si="42"/>
        <v>0</v>
      </c>
      <c r="U280" s="139">
        <f t="shared" si="43"/>
        <v>0</v>
      </c>
      <c r="V280" s="140">
        <f t="shared" si="44"/>
        <v>251964.35762049403</v>
      </c>
    </row>
    <row r="281" spans="4:22">
      <c r="D281" s="9" t="s">
        <v>227</v>
      </c>
      <c r="E281" s="9" t="s">
        <v>2291</v>
      </c>
      <c r="F281" s="4" t="s">
        <v>112</v>
      </c>
      <c r="G281" s="9" t="s">
        <v>2413</v>
      </c>
      <c r="H281" s="138">
        <v>1916337.4425805029</v>
      </c>
      <c r="I281" s="139">
        <v>1583536.7169147751</v>
      </c>
      <c r="J281" s="139">
        <v>174525.60956581772</v>
      </c>
      <c r="K281" s="139">
        <v>69209.402712295065</v>
      </c>
      <c r="L281" s="139">
        <f t="shared" si="36"/>
        <v>2090863.0521463207</v>
      </c>
      <c r="M281" s="140">
        <f t="shared" si="37"/>
        <v>1652746.1196270701</v>
      </c>
      <c r="N281" s="21">
        <f>INDEX('CHIRP Payment Calc'!AM:AM,MATCH(F:F,'CHIRP Payment Calc'!C:C,0))</f>
        <v>0.32</v>
      </c>
      <c r="O281" s="141">
        <f>INDEX('CHIRP Payment Calc'!AL:AL,MATCH(F:F,'CHIRP Payment Calc'!C:C,0))</f>
        <v>0</v>
      </c>
      <c r="P281" s="138">
        <f t="shared" si="38"/>
        <v>669076.17668682267</v>
      </c>
      <c r="Q281" s="139">
        <f t="shared" si="39"/>
        <v>40976.565085586568</v>
      </c>
      <c r="R281" s="139">
        <f t="shared" si="40"/>
        <v>650639.76830319467</v>
      </c>
      <c r="S281" s="139">
        <f t="shared" si="41"/>
        <v>59412.97346921455</v>
      </c>
      <c r="T281" s="139">
        <f t="shared" si="42"/>
        <v>0</v>
      </c>
      <c r="U281" s="139">
        <f t="shared" si="43"/>
        <v>0</v>
      </c>
      <c r="V281" s="140">
        <f t="shared" si="44"/>
        <v>710052.74177240918</v>
      </c>
    </row>
    <row r="282" spans="4:22">
      <c r="D282" s="9" t="s">
        <v>227</v>
      </c>
      <c r="E282" s="9" t="s">
        <v>2291</v>
      </c>
      <c r="F282" s="4" t="s">
        <v>534</v>
      </c>
      <c r="G282" s="9" t="s">
        <v>2433</v>
      </c>
      <c r="H282" s="138">
        <v>261723.94224644901</v>
      </c>
      <c r="I282" s="139">
        <v>1132871.6488394709</v>
      </c>
      <c r="J282" s="139">
        <v>50800.653329073597</v>
      </c>
      <c r="K282" s="139">
        <v>41907.172663298523</v>
      </c>
      <c r="L282" s="139">
        <f t="shared" si="36"/>
        <v>312524.59557552263</v>
      </c>
      <c r="M282" s="140">
        <f t="shared" si="37"/>
        <v>1174778.8215027694</v>
      </c>
      <c r="N282" s="21">
        <f>INDEX('CHIRP Payment Calc'!AM:AM,MATCH(F:F,'CHIRP Payment Calc'!C:C,0))</f>
        <v>0.75</v>
      </c>
      <c r="O282" s="141">
        <f>INDEX('CHIRP Payment Calc'!AL:AL,MATCH(F:F,'CHIRP Payment Calc'!C:C,0))</f>
        <v>0</v>
      </c>
      <c r="P282" s="138">
        <f t="shared" si="38"/>
        <v>234393.44668164197</v>
      </c>
      <c r="Q282" s="139">
        <f t="shared" si="39"/>
        <v>14407.378540701802</v>
      </c>
      <c r="R282" s="139">
        <f t="shared" si="40"/>
        <v>208268.38905552973</v>
      </c>
      <c r="S282" s="139">
        <f t="shared" si="41"/>
        <v>40532.436166814048</v>
      </c>
      <c r="T282" s="139">
        <f t="shared" si="42"/>
        <v>0</v>
      </c>
      <c r="U282" s="139">
        <f t="shared" si="43"/>
        <v>0</v>
      </c>
      <c r="V282" s="140">
        <f t="shared" si="44"/>
        <v>248800.82522234379</v>
      </c>
    </row>
    <row r="283" spans="4:22">
      <c r="D283" s="9" t="s">
        <v>227</v>
      </c>
      <c r="E283" s="9" t="s">
        <v>2291</v>
      </c>
      <c r="F283" s="4" t="s">
        <v>1141</v>
      </c>
      <c r="G283" s="9" t="s">
        <v>2874</v>
      </c>
      <c r="H283" s="138">
        <v>58402.030034892967</v>
      </c>
      <c r="I283" s="139">
        <v>131.90309118213122</v>
      </c>
      <c r="J283" s="139">
        <v>5097.8496207088938</v>
      </c>
      <c r="K283" s="139">
        <v>0</v>
      </c>
      <c r="L283" s="139">
        <f t="shared" si="36"/>
        <v>63499.879655601864</v>
      </c>
      <c r="M283" s="140">
        <f t="shared" si="37"/>
        <v>131.90309118213122</v>
      </c>
      <c r="N283" s="21">
        <f>INDEX('CHIRP Payment Calc'!AM:AM,MATCH(F:F,'CHIRP Payment Calc'!C:C,0))</f>
        <v>0.2</v>
      </c>
      <c r="O283" s="141">
        <f>INDEX('CHIRP Payment Calc'!AL:AL,MATCH(F:F,'CHIRP Payment Calc'!C:C,0))</f>
        <v>0</v>
      </c>
      <c r="P283" s="138">
        <f t="shared" si="38"/>
        <v>12699.975931120374</v>
      </c>
      <c r="Q283" s="139">
        <f t="shared" si="39"/>
        <v>777.67664528180001</v>
      </c>
      <c r="R283" s="139">
        <f t="shared" si="40"/>
        <v>12393.003720932196</v>
      </c>
      <c r="S283" s="139">
        <f t="shared" si="41"/>
        <v>1084.6488554699774</v>
      </c>
      <c r="T283" s="139">
        <f t="shared" si="42"/>
        <v>0</v>
      </c>
      <c r="U283" s="139">
        <f t="shared" si="43"/>
        <v>0</v>
      </c>
      <c r="V283" s="140">
        <f t="shared" si="44"/>
        <v>13477.652576402174</v>
      </c>
    </row>
    <row r="284" spans="4:22">
      <c r="D284" s="9" t="s">
        <v>227</v>
      </c>
      <c r="E284" s="9" t="s">
        <v>2291</v>
      </c>
      <c r="F284" s="4" t="s">
        <v>1376</v>
      </c>
      <c r="G284" s="9" t="s">
        <v>2814</v>
      </c>
      <c r="H284" s="138">
        <v>1860569.8958793329</v>
      </c>
      <c r="I284" s="139">
        <v>1703236.7724658272</v>
      </c>
      <c r="J284" s="139">
        <v>242361.70225534568</v>
      </c>
      <c r="K284" s="139">
        <v>569539.34773198795</v>
      </c>
      <c r="L284" s="139">
        <f t="shared" si="36"/>
        <v>2102931.5981346788</v>
      </c>
      <c r="M284" s="140">
        <f t="shared" si="37"/>
        <v>2272776.1201978149</v>
      </c>
      <c r="N284" s="21">
        <f>INDEX('CHIRP Payment Calc'!AM:AM,MATCH(F:F,'CHIRP Payment Calc'!C:C,0))</f>
        <v>0.52</v>
      </c>
      <c r="O284" s="141">
        <f>INDEX('CHIRP Payment Calc'!AL:AL,MATCH(F:F,'CHIRP Payment Calc'!C:C,0))</f>
        <v>0</v>
      </c>
      <c r="P284" s="138">
        <f t="shared" si="38"/>
        <v>1093524.4310300329</v>
      </c>
      <c r="Q284" s="139">
        <f t="shared" si="39"/>
        <v>67069.321869298758</v>
      </c>
      <c r="R284" s="139">
        <f t="shared" si="40"/>
        <v>1026521.3218644597</v>
      </c>
      <c r="S284" s="139">
        <f t="shared" si="41"/>
        <v>134072.43103487208</v>
      </c>
      <c r="T284" s="139">
        <f t="shared" si="42"/>
        <v>0</v>
      </c>
      <c r="U284" s="139">
        <f t="shared" si="43"/>
        <v>0</v>
      </c>
      <c r="V284" s="140">
        <f t="shared" si="44"/>
        <v>1160593.7528993317</v>
      </c>
    </row>
    <row r="285" spans="4:22">
      <c r="D285" s="9" t="s">
        <v>227</v>
      </c>
      <c r="E285" s="9" t="s">
        <v>2291</v>
      </c>
      <c r="F285" s="4" t="s">
        <v>933</v>
      </c>
      <c r="G285" s="9" t="s">
        <v>2570</v>
      </c>
      <c r="H285" s="138">
        <v>92840.137158046433</v>
      </c>
      <c r="I285" s="139">
        <v>7890.5617675972007</v>
      </c>
      <c r="J285" s="139">
        <v>3933.7226717881381</v>
      </c>
      <c r="K285" s="139">
        <v>26.324569027673657</v>
      </c>
      <c r="L285" s="139">
        <f t="shared" si="36"/>
        <v>96773.859829834575</v>
      </c>
      <c r="M285" s="140">
        <f t="shared" si="37"/>
        <v>7916.8863366248743</v>
      </c>
      <c r="N285" s="21">
        <f>INDEX('CHIRP Payment Calc'!AM:AM,MATCH(F:F,'CHIRP Payment Calc'!C:C,0))</f>
        <v>0.22</v>
      </c>
      <c r="O285" s="141">
        <f>INDEX('CHIRP Payment Calc'!AL:AL,MATCH(F:F,'CHIRP Payment Calc'!C:C,0))</f>
        <v>0</v>
      </c>
      <c r="P285" s="138">
        <f t="shared" si="38"/>
        <v>21290.249162563607</v>
      </c>
      <c r="Q285" s="139">
        <f t="shared" si="39"/>
        <v>1301.31668232524</v>
      </c>
      <c r="R285" s="139">
        <f t="shared" si="40"/>
        <v>21670.907347236302</v>
      </c>
      <c r="S285" s="139">
        <f t="shared" si="41"/>
        <v>920.65849765254313</v>
      </c>
      <c r="T285" s="139">
        <f t="shared" si="42"/>
        <v>0</v>
      </c>
      <c r="U285" s="139">
        <f t="shared" si="43"/>
        <v>0</v>
      </c>
      <c r="V285" s="140">
        <f t="shared" si="44"/>
        <v>22591.565844888846</v>
      </c>
    </row>
    <row r="286" spans="4:22">
      <c r="D286" s="9" t="s">
        <v>227</v>
      </c>
      <c r="E286" s="9" t="s">
        <v>2291</v>
      </c>
      <c r="F286" s="4" t="s">
        <v>339</v>
      </c>
      <c r="G286" s="9" t="s">
        <v>2667</v>
      </c>
      <c r="H286" s="138">
        <v>224575.94304534065</v>
      </c>
      <c r="I286" s="139">
        <v>192150.01144942877</v>
      </c>
      <c r="J286" s="139">
        <v>65741.43414732939</v>
      </c>
      <c r="K286" s="139">
        <v>63312.32500259221</v>
      </c>
      <c r="L286" s="139">
        <f t="shared" si="36"/>
        <v>290317.37719267001</v>
      </c>
      <c r="M286" s="140">
        <f t="shared" si="37"/>
        <v>255462.33645202097</v>
      </c>
      <c r="N286" s="21">
        <f>INDEX('CHIRP Payment Calc'!AM:AM,MATCH(F:F,'CHIRP Payment Calc'!C:C,0))</f>
        <v>0.2</v>
      </c>
      <c r="O286" s="141">
        <f>INDEX('CHIRP Payment Calc'!AL:AL,MATCH(F:F,'CHIRP Payment Calc'!C:C,0))</f>
        <v>0</v>
      </c>
      <c r="P286" s="138">
        <f t="shared" si="38"/>
        <v>58063.475438534006</v>
      </c>
      <c r="Q286" s="139">
        <f t="shared" si="39"/>
        <v>3579.4362712640987</v>
      </c>
      <c r="R286" s="139">
        <f t="shared" si="40"/>
        <v>47655.372529515262</v>
      </c>
      <c r="S286" s="139">
        <f t="shared" si="41"/>
        <v>13987.539180282851</v>
      </c>
      <c r="T286" s="139">
        <f t="shared" si="42"/>
        <v>0</v>
      </c>
      <c r="U286" s="139">
        <f t="shared" si="43"/>
        <v>0</v>
      </c>
      <c r="V286" s="140">
        <f t="shared" si="44"/>
        <v>61642.911709798114</v>
      </c>
    </row>
    <row r="287" spans="4:22">
      <c r="D287" s="9" t="s">
        <v>227</v>
      </c>
      <c r="E287" s="9" t="s">
        <v>2291</v>
      </c>
      <c r="F287" s="4" t="s">
        <v>615</v>
      </c>
      <c r="G287" s="9" t="s">
        <v>1710</v>
      </c>
      <c r="H287" s="138">
        <v>146138.94621575292</v>
      </c>
      <c r="I287" s="139">
        <v>592.07118789765786</v>
      </c>
      <c r="J287" s="139">
        <v>37793.164829316062</v>
      </c>
      <c r="K287" s="139">
        <v>20275.571139683925</v>
      </c>
      <c r="L287" s="139">
        <f t="shared" si="36"/>
        <v>183932.11104506897</v>
      </c>
      <c r="M287" s="140">
        <f t="shared" si="37"/>
        <v>20867.642327581583</v>
      </c>
      <c r="N287" s="21">
        <f>INDEX('CHIRP Payment Calc'!AM:AM,MATCH(F:F,'CHIRP Payment Calc'!C:C,0))</f>
        <v>0.47000000000000003</v>
      </c>
      <c r="O287" s="141">
        <f>INDEX('CHIRP Payment Calc'!AL:AL,MATCH(F:F,'CHIRP Payment Calc'!C:C,0))</f>
        <v>0</v>
      </c>
      <c r="P287" s="138">
        <f t="shared" si="38"/>
        <v>86448.092191182426</v>
      </c>
      <c r="Q287" s="139">
        <f t="shared" si="39"/>
        <v>5324.1451002966951</v>
      </c>
      <c r="R287" s="139">
        <f t="shared" si="40"/>
        <v>72875.654876821092</v>
      </c>
      <c r="S287" s="139">
        <f t="shared" si="41"/>
        <v>18896.582414658031</v>
      </c>
      <c r="T287" s="139">
        <f t="shared" si="42"/>
        <v>0</v>
      </c>
      <c r="U287" s="139">
        <f t="shared" si="43"/>
        <v>0</v>
      </c>
      <c r="V287" s="140">
        <f t="shared" si="44"/>
        <v>91772.237291479119</v>
      </c>
    </row>
    <row r="288" spans="4:22">
      <c r="D288" s="9" t="s">
        <v>227</v>
      </c>
      <c r="E288" s="9" t="s">
        <v>2291</v>
      </c>
      <c r="F288" s="4" t="s">
        <v>714</v>
      </c>
      <c r="G288" s="9" t="s">
        <v>2779</v>
      </c>
      <c r="H288" s="138">
        <v>1060858.3049379077</v>
      </c>
      <c r="I288" s="139">
        <v>869967.43212618143</v>
      </c>
      <c r="J288" s="139">
        <v>204822.42463738899</v>
      </c>
      <c r="K288" s="139">
        <v>60150.589458109411</v>
      </c>
      <c r="L288" s="139">
        <f t="shared" si="36"/>
        <v>1265680.7295752966</v>
      </c>
      <c r="M288" s="140">
        <f t="shared" si="37"/>
        <v>930118.02158429089</v>
      </c>
      <c r="N288" s="21">
        <f>INDEX('CHIRP Payment Calc'!AM:AM,MATCH(F:F,'CHIRP Payment Calc'!C:C,0))</f>
        <v>0.2</v>
      </c>
      <c r="O288" s="141">
        <f>INDEX('CHIRP Payment Calc'!AL:AL,MATCH(F:F,'CHIRP Payment Calc'!C:C,0))</f>
        <v>0</v>
      </c>
      <c r="P288" s="138">
        <f t="shared" si="38"/>
        <v>253136.14591505934</v>
      </c>
      <c r="Q288" s="139">
        <f t="shared" si="39"/>
        <v>15558.9140459706</v>
      </c>
      <c r="R288" s="139">
        <f t="shared" si="40"/>
        <v>225115.82067647908</v>
      </c>
      <c r="S288" s="139">
        <f t="shared" si="41"/>
        <v>43579.239284550858</v>
      </c>
      <c r="T288" s="139">
        <f t="shared" si="42"/>
        <v>0</v>
      </c>
      <c r="U288" s="139">
        <f t="shared" si="43"/>
        <v>0</v>
      </c>
      <c r="V288" s="140">
        <f t="shared" si="44"/>
        <v>268695.05996102991</v>
      </c>
    </row>
    <row r="289" spans="4:22">
      <c r="D289" s="9" t="s">
        <v>227</v>
      </c>
      <c r="E289" s="9" t="s">
        <v>2291</v>
      </c>
      <c r="F289" s="4" t="s">
        <v>11</v>
      </c>
      <c r="G289" s="9" t="s">
        <v>2870</v>
      </c>
      <c r="H289" s="138">
        <v>86449.257744124043</v>
      </c>
      <c r="I289" s="139">
        <v>0</v>
      </c>
      <c r="J289" s="139">
        <v>48325.166182998262</v>
      </c>
      <c r="K289" s="139">
        <v>34914.704135427419</v>
      </c>
      <c r="L289" s="139">
        <f t="shared" si="36"/>
        <v>134774.42392712232</v>
      </c>
      <c r="M289" s="140">
        <f t="shared" si="37"/>
        <v>34914.704135427419</v>
      </c>
      <c r="N289" s="21">
        <f>INDEX('CHIRP Payment Calc'!AM:AM,MATCH(F:F,'CHIRP Payment Calc'!C:C,0))</f>
        <v>0.2</v>
      </c>
      <c r="O289" s="141">
        <f>INDEX('CHIRP Payment Calc'!AL:AL,MATCH(F:F,'CHIRP Payment Calc'!C:C,0))</f>
        <v>0</v>
      </c>
      <c r="P289" s="138">
        <f t="shared" si="38"/>
        <v>26954.884785424467</v>
      </c>
      <c r="Q289" s="139">
        <f t="shared" si="39"/>
        <v>1671.7355446060064</v>
      </c>
      <c r="R289" s="139">
        <f t="shared" si="40"/>
        <v>18344.670078328709</v>
      </c>
      <c r="S289" s="139">
        <f t="shared" si="41"/>
        <v>10281.950251701759</v>
      </c>
      <c r="T289" s="139">
        <f t="shared" si="42"/>
        <v>0</v>
      </c>
      <c r="U289" s="139">
        <f t="shared" si="43"/>
        <v>0</v>
      </c>
      <c r="V289" s="140">
        <f t="shared" si="44"/>
        <v>28626.62033003047</v>
      </c>
    </row>
    <row r="290" spans="4:22">
      <c r="D290" s="9" t="s">
        <v>227</v>
      </c>
      <c r="E290" s="9" t="s">
        <v>2291</v>
      </c>
      <c r="F290" s="4" t="s">
        <v>696</v>
      </c>
      <c r="G290" s="9" t="s">
        <v>2661</v>
      </c>
      <c r="H290" s="138">
        <v>105009.25192081861</v>
      </c>
      <c r="I290" s="139">
        <v>16889.592969499899</v>
      </c>
      <c r="J290" s="139">
        <v>55361.462693541042</v>
      </c>
      <c r="K290" s="139">
        <v>23081.172803452435</v>
      </c>
      <c r="L290" s="139">
        <f t="shared" si="36"/>
        <v>160370.71461435966</v>
      </c>
      <c r="M290" s="140">
        <f t="shared" si="37"/>
        <v>39970.765772952334</v>
      </c>
      <c r="N290" s="21">
        <f>INDEX('CHIRP Payment Calc'!AM:AM,MATCH(F:F,'CHIRP Payment Calc'!C:C,0))</f>
        <v>0.2</v>
      </c>
      <c r="O290" s="141">
        <f>INDEX('CHIRP Payment Calc'!AL:AL,MATCH(F:F,'CHIRP Payment Calc'!C:C,0))</f>
        <v>0</v>
      </c>
      <c r="P290" s="138">
        <f t="shared" si="38"/>
        <v>32074.142922871935</v>
      </c>
      <c r="Q290" s="139">
        <f t="shared" si="39"/>
        <v>1988.0220738506673</v>
      </c>
      <c r="R290" s="139">
        <f t="shared" si="40"/>
        <v>22283.130381075567</v>
      </c>
      <c r="S290" s="139">
        <f t="shared" si="41"/>
        <v>11779.034615647031</v>
      </c>
      <c r="T290" s="139">
        <f t="shared" si="42"/>
        <v>0</v>
      </c>
      <c r="U290" s="139">
        <f t="shared" si="43"/>
        <v>0</v>
      </c>
      <c r="V290" s="140">
        <f t="shared" si="44"/>
        <v>34062.164996722597</v>
      </c>
    </row>
    <row r="291" spans="4:22">
      <c r="D291" s="9" t="s">
        <v>227</v>
      </c>
      <c r="E291" s="9" t="s">
        <v>2291</v>
      </c>
      <c r="F291" s="4" t="s">
        <v>172</v>
      </c>
      <c r="G291" s="9" t="s">
        <v>2804</v>
      </c>
      <c r="H291" s="138">
        <v>351844.47603086772</v>
      </c>
      <c r="I291" s="139">
        <v>31396.375149125528</v>
      </c>
      <c r="J291" s="139">
        <v>149621.03265536061</v>
      </c>
      <c r="K291" s="139">
        <v>72903.267692797934</v>
      </c>
      <c r="L291" s="139">
        <f t="shared" si="36"/>
        <v>501465.50868622831</v>
      </c>
      <c r="M291" s="140">
        <f t="shared" si="37"/>
        <v>104299.64284192346</v>
      </c>
      <c r="N291" s="21">
        <f>INDEX('CHIRP Payment Calc'!AM:AM,MATCH(F:F,'CHIRP Payment Calc'!C:C,0))</f>
        <v>0.53</v>
      </c>
      <c r="O291" s="141">
        <f>INDEX('CHIRP Payment Calc'!AL:AL,MATCH(F:F,'CHIRP Payment Calc'!C:C,0))</f>
        <v>0</v>
      </c>
      <c r="P291" s="138">
        <f t="shared" si="38"/>
        <v>265776.71960370103</v>
      </c>
      <c r="Q291" s="139">
        <f t="shared" si="39"/>
        <v>16438.263516957384</v>
      </c>
      <c r="R291" s="139">
        <f t="shared" si="40"/>
        <v>197854.1881128487</v>
      </c>
      <c r="S291" s="139">
        <f t="shared" si="41"/>
        <v>84360.79500780972</v>
      </c>
      <c r="T291" s="139">
        <f t="shared" si="42"/>
        <v>0</v>
      </c>
      <c r="U291" s="139">
        <f t="shared" si="43"/>
        <v>0</v>
      </c>
      <c r="V291" s="140">
        <f t="shared" si="44"/>
        <v>282214.98312065843</v>
      </c>
    </row>
    <row r="292" spans="4:22">
      <c r="D292" s="9" t="s">
        <v>227</v>
      </c>
      <c r="E292" s="9" t="s">
        <v>2291</v>
      </c>
      <c r="F292" s="4" t="s">
        <v>745</v>
      </c>
      <c r="G292" s="9" t="s">
        <v>2340</v>
      </c>
      <c r="H292" s="138">
        <v>149292.67885034165</v>
      </c>
      <c r="I292" s="139">
        <v>18851.836019629303</v>
      </c>
      <c r="J292" s="139">
        <v>40811.927090910183</v>
      </c>
      <c r="K292" s="139">
        <v>19606.221950078547</v>
      </c>
      <c r="L292" s="139">
        <f t="shared" si="36"/>
        <v>190104.60594125182</v>
      </c>
      <c r="M292" s="140">
        <f t="shared" si="37"/>
        <v>38458.05796970785</v>
      </c>
      <c r="N292" s="21">
        <f>INDEX('CHIRP Payment Calc'!AM:AM,MATCH(F:F,'CHIRP Payment Calc'!C:C,0))</f>
        <v>0.2</v>
      </c>
      <c r="O292" s="141">
        <f>INDEX('CHIRP Payment Calc'!AL:AL,MATCH(F:F,'CHIRP Payment Calc'!C:C,0))</f>
        <v>0</v>
      </c>
      <c r="P292" s="138">
        <f t="shared" si="38"/>
        <v>38020.921188250366</v>
      </c>
      <c r="Q292" s="139">
        <f t="shared" si="39"/>
        <v>2342.6116076193775</v>
      </c>
      <c r="R292" s="139">
        <f t="shared" si="40"/>
        <v>31680.144053122898</v>
      </c>
      <c r="S292" s="139">
        <f t="shared" si="41"/>
        <v>8683.3887427468489</v>
      </c>
      <c r="T292" s="139">
        <f t="shared" si="42"/>
        <v>0</v>
      </c>
      <c r="U292" s="139">
        <f t="shared" si="43"/>
        <v>0</v>
      </c>
      <c r="V292" s="140">
        <f t="shared" si="44"/>
        <v>40363.532795869745</v>
      </c>
    </row>
    <row r="293" spans="4:22">
      <c r="D293" s="9" t="s">
        <v>227</v>
      </c>
      <c r="E293" s="9" t="s">
        <v>2291</v>
      </c>
      <c r="F293" s="4" t="s">
        <v>1017</v>
      </c>
      <c r="G293" s="9" t="s">
        <v>2782</v>
      </c>
      <c r="H293" s="138">
        <v>1194201.9554957116</v>
      </c>
      <c r="I293" s="139">
        <v>1432424.4041744864</v>
      </c>
      <c r="J293" s="139">
        <v>200543.54637166113</v>
      </c>
      <c r="K293" s="139">
        <v>206334.96816991901</v>
      </c>
      <c r="L293" s="139">
        <f t="shared" si="36"/>
        <v>1394745.5018673728</v>
      </c>
      <c r="M293" s="140">
        <f t="shared" si="37"/>
        <v>1638759.3723444054</v>
      </c>
      <c r="N293" s="21">
        <f>INDEX('CHIRP Payment Calc'!AM:AM,MATCH(F:F,'CHIRP Payment Calc'!C:C,0))</f>
        <v>0.2</v>
      </c>
      <c r="O293" s="141">
        <f>INDEX('CHIRP Payment Calc'!AL:AL,MATCH(F:F,'CHIRP Payment Calc'!C:C,0))</f>
        <v>0</v>
      </c>
      <c r="P293" s="138">
        <f t="shared" si="38"/>
        <v>278949.10037347459</v>
      </c>
      <c r="Q293" s="139">
        <f t="shared" si="39"/>
        <v>17131.29482292695</v>
      </c>
      <c r="R293" s="139">
        <f t="shared" si="40"/>
        <v>253411.5555428566</v>
      </c>
      <c r="S293" s="139">
        <f t="shared" si="41"/>
        <v>42668.839653544928</v>
      </c>
      <c r="T293" s="139">
        <f t="shared" si="42"/>
        <v>0</v>
      </c>
      <c r="U293" s="139">
        <f t="shared" si="43"/>
        <v>0</v>
      </c>
      <c r="V293" s="140">
        <f t="shared" si="44"/>
        <v>296080.39519640151</v>
      </c>
    </row>
    <row r="294" spans="4:22">
      <c r="D294" s="9" t="s">
        <v>227</v>
      </c>
      <c r="E294" s="9" t="s">
        <v>2291</v>
      </c>
      <c r="F294" s="4" t="s">
        <v>711</v>
      </c>
      <c r="G294" s="9" t="s">
        <v>2587</v>
      </c>
      <c r="H294" s="138">
        <v>128155.72606066881</v>
      </c>
      <c r="I294" s="139">
        <v>56.071951150608186</v>
      </c>
      <c r="J294" s="139">
        <v>39692.465397638589</v>
      </c>
      <c r="K294" s="139">
        <v>24721.659520017849</v>
      </c>
      <c r="L294" s="139">
        <f t="shared" si="36"/>
        <v>167848.19145830738</v>
      </c>
      <c r="M294" s="140">
        <f t="shared" si="37"/>
        <v>24777.731471168456</v>
      </c>
      <c r="N294" s="21">
        <f>INDEX('CHIRP Payment Calc'!AM:AM,MATCH(F:F,'CHIRP Payment Calc'!C:C,0))</f>
        <v>0.25</v>
      </c>
      <c r="O294" s="141">
        <f>INDEX('CHIRP Payment Calc'!AL:AL,MATCH(F:F,'CHIRP Payment Calc'!C:C,0))</f>
        <v>0</v>
      </c>
      <c r="P294" s="138">
        <f t="shared" si="38"/>
        <v>41962.047864576845</v>
      </c>
      <c r="Q294" s="139">
        <f t="shared" si="39"/>
        <v>2588.0201794163358</v>
      </c>
      <c r="R294" s="139">
        <f t="shared" si="40"/>
        <v>33993.561289302073</v>
      </c>
      <c r="S294" s="139">
        <f t="shared" si="41"/>
        <v>10556.506754691114</v>
      </c>
      <c r="T294" s="139">
        <f t="shared" si="42"/>
        <v>0</v>
      </c>
      <c r="U294" s="139">
        <f t="shared" si="43"/>
        <v>0</v>
      </c>
      <c r="V294" s="140">
        <f t="shared" si="44"/>
        <v>44550.068043993189</v>
      </c>
    </row>
    <row r="295" spans="4:22">
      <c r="D295" s="9" t="s">
        <v>227</v>
      </c>
      <c r="E295" s="9" t="s">
        <v>2291</v>
      </c>
      <c r="F295" s="4" t="s">
        <v>351</v>
      </c>
      <c r="G295" s="9" t="s">
        <v>2592</v>
      </c>
      <c r="H295" s="138">
        <v>273639.47491699614</v>
      </c>
      <c r="I295" s="139">
        <v>42612.366477656811</v>
      </c>
      <c r="J295" s="139">
        <v>32313.236313735622</v>
      </c>
      <c r="K295" s="139">
        <v>19017.113304424965</v>
      </c>
      <c r="L295" s="139">
        <f t="shared" si="36"/>
        <v>305952.71123073174</v>
      </c>
      <c r="M295" s="140">
        <f t="shared" si="37"/>
        <v>61629.479782081777</v>
      </c>
      <c r="N295" s="21">
        <f>INDEX('CHIRP Payment Calc'!AM:AM,MATCH(F:F,'CHIRP Payment Calc'!C:C,0))</f>
        <v>0.30000000000000004</v>
      </c>
      <c r="O295" s="141">
        <f>INDEX('CHIRP Payment Calc'!AL:AL,MATCH(F:F,'CHIRP Payment Calc'!C:C,0))</f>
        <v>0</v>
      </c>
      <c r="P295" s="138">
        <f t="shared" si="38"/>
        <v>91785.813369219541</v>
      </c>
      <c r="Q295" s="139">
        <f t="shared" si="39"/>
        <v>5627.0197413416308</v>
      </c>
      <c r="R295" s="139">
        <f t="shared" si="40"/>
        <v>87100.09811681576</v>
      </c>
      <c r="S295" s="139">
        <f t="shared" si="41"/>
        <v>10312.734993745415</v>
      </c>
      <c r="T295" s="139">
        <f t="shared" si="42"/>
        <v>0</v>
      </c>
      <c r="U295" s="139">
        <f t="shared" si="43"/>
        <v>0</v>
      </c>
      <c r="V295" s="140">
        <f t="shared" si="44"/>
        <v>97412.833110561172</v>
      </c>
    </row>
    <row r="296" spans="4:22">
      <c r="D296" s="9" t="s">
        <v>227</v>
      </c>
      <c r="E296" s="9" t="s">
        <v>2291</v>
      </c>
      <c r="F296" s="4" t="s">
        <v>657</v>
      </c>
      <c r="G296" s="9" t="s">
        <v>2802</v>
      </c>
      <c r="H296" s="138">
        <v>529922.81085493241</v>
      </c>
      <c r="I296" s="139">
        <v>370344.85909309972</v>
      </c>
      <c r="J296" s="139">
        <v>47297.687175839455</v>
      </c>
      <c r="K296" s="139">
        <v>10617.269161059441</v>
      </c>
      <c r="L296" s="139">
        <f t="shared" si="36"/>
        <v>577220.49803077185</v>
      </c>
      <c r="M296" s="140">
        <f t="shared" si="37"/>
        <v>380962.12825415918</v>
      </c>
      <c r="N296" s="21">
        <f>INDEX('CHIRP Payment Calc'!AM:AM,MATCH(F:F,'CHIRP Payment Calc'!C:C,0))</f>
        <v>0.2</v>
      </c>
      <c r="O296" s="141">
        <f>INDEX('CHIRP Payment Calc'!AL:AL,MATCH(F:F,'CHIRP Payment Calc'!C:C,0))</f>
        <v>0</v>
      </c>
      <c r="P296" s="138">
        <f t="shared" si="38"/>
        <v>115444.09960615437</v>
      </c>
      <c r="Q296" s="139">
        <f t="shared" si="39"/>
        <v>7069.7019327282178</v>
      </c>
      <c r="R296" s="139">
        <f t="shared" si="40"/>
        <v>112450.46384189549</v>
      </c>
      <c r="S296" s="139">
        <f t="shared" si="41"/>
        <v>10063.337696987119</v>
      </c>
      <c r="T296" s="139">
        <f t="shared" si="42"/>
        <v>0</v>
      </c>
      <c r="U296" s="139">
        <f t="shared" si="43"/>
        <v>0</v>
      </c>
      <c r="V296" s="140">
        <f t="shared" si="44"/>
        <v>122513.8015388826</v>
      </c>
    </row>
    <row r="297" spans="4:22">
      <c r="D297" s="9" t="s">
        <v>227</v>
      </c>
      <c r="E297" s="9" t="s">
        <v>2291</v>
      </c>
      <c r="F297" s="4" t="s">
        <v>820</v>
      </c>
      <c r="G297" s="9" t="s">
        <v>2594</v>
      </c>
      <c r="H297" s="138">
        <v>451584.58391858352</v>
      </c>
      <c r="I297" s="139">
        <v>63087.517861974862</v>
      </c>
      <c r="J297" s="139">
        <v>71329.586515274073</v>
      </c>
      <c r="K297" s="139">
        <v>51944.018550183115</v>
      </c>
      <c r="L297" s="139">
        <f t="shared" si="36"/>
        <v>522914.17043385759</v>
      </c>
      <c r="M297" s="140">
        <f t="shared" si="37"/>
        <v>115031.53641215798</v>
      </c>
      <c r="N297" s="21">
        <f>INDEX('CHIRP Payment Calc'!AM:AM,MATCH(F:F,'CHIRP Payment Calc'!C:C,0))</f>
        <v>0.32</v>
      </c>
      <c r="O297" s="141">
        <f>INDEX('CHIRP Payment Calc'!AL:AL,MATCH(F:F,'CHIRP Payment Calc'!C:C,0))</f>
        <v>0</v>
      </c>
      <c r="P297" s="138">
        <f t="shared" si="38"/>
        <v>167332.53453883444</v>
      </c>
      <c r="Q297" s="139">
        <f t="shared" si="39"/>
        <v>10273.025747543565</v>
      </c>
      <c r="R297" s="139">
        <f t="shared" si="40"/>
        <v>153323.14785564638</v>
      </c>
      <c r="S297" s="139">
        <f t="shared" si="41"/>
        <v>24282.412430731605</v>
      </c>
      <c r="T297" s="139">
        <f t="shared" si="42"/>
        <v>0</v>
      </c>
      <c r="U297" s="139">
        <f t="shared" si="43"/>
        <v>0</v>
      </c>
      <c r="V297" s="140">
        <f t="shared" si="44"/>
        <v>177605.56028637799</v>
      </c>
    </row>
    <row r="298" spans="4:22">
      <c r="D298" s="9" t="s">
        <v>227</v>
      </c>
      <c r="E298" s="9" t="s">
        <v>2291</v>
      </c>
      <c r="F298" s="4" t="s">
        <v>693</v>
      </c>
      <c r="G298" s="9" t="s">
        <v>2444</v>
      </c>
      <c r="H298" s="138">
        <v>774374.26885022898</v>
      </c>
      <c r="I298" s="139">
        <v>71030.958102504912</v>
      </c>
      <c r="J298" s="139">
        <v>273811.23691662232</v>
      </c>
      <c r="K298" s="139">
        <v>91671.355977719853</v>
      </c>
      <c r="L298" s="139">
        <f t="shared" si="36"/>
        <v>1048185.5057668514</v>
      </c>
      <c r="M298" s="140">
        <f t="shared" si="37"/>
        <v>162702.31408022478</v>
      </c>
      <c r="N298" s="21">
        <f>INDEX('CHIRP Payment Calc'!AM:AM,MATCH(F:F,'CHIRP Payment Calc'!C:C,0))</f>
        <v>0.2</v>
      </c>
      <c r="O298" s="141">
        <f>INDEX('CHIRP Payment Calc'!AL:AL,MATCH(F:F,'CHIRP Payment Calc'!C:C,0))</f>
        <v>0</v>
      </c>
      <c r="P298" s="138">
        <f t="shared" si="38"/>
        <v>209637.10115337028</v>
      </c>
      <c r="Q298" s="139">
        <f t="shared" si="39"/>
        <v>12944.061104800467</v>
      </c>
      <c r="R298" s="139">
        <f t="shared" si="40"/>
        <v>164323.45227591065</v>
      </c>
      <c r="S298" s="139">
        <f t="shared" si="41"/>
        <v>58257.709982260072</v>
      </c>
      <c r="T298" s="139">
        <f t="shared" si="42"/>
        <v>0</v>
      </c>
      <c r="U298" s="139">
        <f t="shared" si="43"/>
        <v>0</v>
      </c>
      <c r="V298" s="140">
        <f t="shared" si="44"/>
        <v>222581.16225817072</v>
      </c>
    </row>
    <row r="299" spans="4:22">
      <c r="D299" s="9" t="s">
        <v>227</v>
      </c>
      <c r="E299" s="9" t="s">
        <v>2291</v>
      </c>
      <c r="F299" s="4" t="s">
        <v>896</v>
      </c>
      <c r="G299" s="9" t="s">
        <v>2457</v>
      </c>
      <c r="H299" s="138">
        <v>583159.07183563139</v>
      </c>
      <c r="I299" s="139">
        <v>1251747.8984649826</v>
      </c>
      <c r="J299" s="139">
        <v>35139.202615829578</v>
      </c>
      <c r="K299" s="139">
        <v>123728.67839503888</v>
      </c>
      <c r="L299" s="139">
        <f t="shared" si="36"/>
        <v>618298.27445146092</v>
      </c>
      <c r="M299" s="140">
        <f t="shared" si="37"/>
        <v>1375476.5768600216</v>
      </c>
      <c r="N299" s="21">
        <f>INDEX('CHIRP Payment Calc'!AM:AM,MATCH(F:F,'CHIRP Payment Calc'!C:C,0))</f>
        <v>0.39</v>
      </c>
      <c r="O299" s="141">
        <f>INDEX('CHIRP Payment Calc'!AL:AL,MATCH(F:F,'CHIRP Payment Calc'!C:C,0))</f>
        <v>0</v>
      </c>
      <c r="P299" s="138">
        <f t="shared" si="38"/>
        <v>241136.32703606976</v>
      </c>
      <c r="Q299" s="139">
        <f t="shared" si="39"/>
        <v>14749.905975337215</v>
      </c>
      <c r="R299" s="139">
        <f t="shared" si="40"/>
        <v>241307.20213888196</v>
      </c>
      <c r="S299" s="139">
        <f t="shared" si="41"/>
        <v>14579.030872525038</v>
      </c>
      <c r="T299" s="139">
        <f t="shared" si="42"/>
        <v>0</v>
      </c>
      <c r="U299" s="139">
        <f t="shared" si="43"/>
        <v>0</v>
      </c>
      <c r="V299" s="140">
        <f t="shared" si="44"/>
        <v>255886.23301140699</v>
      </c>
    </row>
    <row r="300" spans="4:22">
      <c r="D300" s="9" t="s">
        <v>227</v>
      </c>
      <c r="E300" s="9" t="s">
        <v>2291</v>
      </c>
      <c r="F300" s="4" t="s">
        <v>666</v>
      </c>
      <c r="G300" s="9" t="s">
        <v>2896</v>
      </c>
      <c r="H300" s="138">
        <v>487359.33648022596</v>
      </c>
      <c r="I300" s="139">
        <v>283700.9650162757</v>
      </c>
      <c r="J300" s="139">
        <v>127646.65655883432</v>
      </c>
      <c r="K300" s="139">
        <v>22255.777929243119</v>
      </c>
      <c r="L300" s="139">
        <f t="shared" si="36"/>
        <v>615005.99303906027</v>
      </c>
      <c r="M300" s="140">
        <f t="shared" si="37"/>
        <v>305956.74294551881</v>
      </c>
      <c r="N300" s="21">
        <f>INDEX('CHIRP Payment Calc'!AM:AM,MATCH(F:F,'CHIRP Payment Calc'!C:C,0))</f>
        <v>0.2</v>
      </c>
      <c r="O300" s="141">
        <f>INDEX('CHIRP Payment Calc'!AL:AL,MATCH(F:F,'CHIRP Payment Calc'!C:C,0))</f>
        <v>0</v>
      </c>
      <c r="P300" s="138">
        <f t="shared" si="38"/>
        <v>123001.19860781205</v>
      </c>
      <c r="Q300" s="139">
        <f t="shared" si="39"/>
        <v>7576.091329117512</v>
      </c>
      <c r="R300" s="139">
        <f t="shared" si="40"/>
        <v>103418.42683930525</v>
      </c>
      <c r="S300" s="139">
        <f t="shared" si="41"/>
        <v>27158.863097624326</v>
      </c>
      <c r="T300" s="139">
        <f t="shared" si="42"/>
        <v>0</v>
      </c>
      <c r="U300" s="139">
        <f t="shared" si="43"/>
        <v>0</v>
      </c>
      <c r="V300" s="140">
        <f t="shared" si="44"/>
        <v>130577.28993692958</v>
      </c>
    </row>
    <row r="301" spans="4:22">
      <c r="D301" s="9" t="s">
        <v>227</v>
      </c>
      <c r="E301" s="9" t="s">
        <v>2291</v>
      </c>
      <c r="F301" s="4" t="s">
        <v>472</v>
      </c>
      <c r="G301" s="9" t="s">
        <v>2598</v>
      </c>
      <c r="H301" s="138">
        <v>2453265.1260632835</v>
      </c>
      <c r="I301" s="139">
        <v>8440739.778467007</v>
      </c>
      <c r="J301" s="139">
        <v>615695.66030748945</v>
      </c>
      <c r="K301" s="139">
        <v>1225697.832497285</v>
      </c>
      <c r="L301" s="139">
        <f t="shared" si="36"/>
        <v>3068960.7863707729</v>
      </c>
      <c r="M301" s="140">
        <f t="shared" si="37"/>
        <v>9666437.6109642927</v>
      </c>
      <c r="N301" s="21">
        <f>INDEX('CHIRP Payment Calc'!AM:AM,MATCH(F:F,'CHIRP Payment Calc'!C:C,0))</f>
        <v>0.55000000000000004</v>
      </c>
      <c r="O301" s="141">
        <f>INDEX('CHIRP Payment Calc'!AL:AL,MATCH(F:F,'CHIRP Payment Calc'!C:C,0))</f>
        <v>0</v>
      </c>
      <c r="P301" s="138">
        <f t="shared" si="38"/>
        <v>1687928.4325039252</v>
      </c>
      <c r="Q301" s="139">
        <f t="shared" si="39"/>
        <v>103932.6297305265</v>
      </c>
      <c r="R301" s="139">
        <f t="shared" si="40"/>
        <v>1431613.6014162397</v>
      </c>
      <c r="S301" s="139">
        <f t="shared" si="41"/>
        <v>360247.46081821196</v>
      </c>
      <c r="T301" s="139">
        <f t="shared" si="42"/>
        <v>0</v>
      </c>
      <c r="U301" s="139">
        <f t="shared" si="43"/>
        <v>0</v>
      </c>
      <c r="V301" s="140">
        <f t="shared" si="44"/>
        <v>1791861.0622344518</v>
      </c>
    </row>
    <row r="302" spans="4:22">
      <c r="D302" s="9" t="s">
        <v>227</v>
      </c>
      <c r="E302" s="9" t="s">
        <v>2291</v>
      </c>
      <c r="F302" s="4" t="s">
        <v>315</v>
      </c>
      <c r="G302" s="9" t="s">
        <v>1637</v>
      </c>
      <c r="H302" s="138">
        <v>601335.8849772244</v>
      </c>
      <c r="I302" s="139">
        <v>1191069.605303359</v>
      </c>
      <c r="J302" s="139">
        <v>85619.481295936479</v>
      </c>
      <c r="K302" s="139">
        <v>44641.725668752049</v>
      </c>
      <c r="L302" s="139">
        <f t="shared" si="36"/>
        <v>686955.36627316091</v>
      </c>
      <c r="M302" s="140">
        <f t="shared" si="37"/>
        <v>1235711.3309721111</v>
      </c>
      <c r="N302" s="21">
        <f>INDEX('CHIRP Payment Calc'!AM:AM,MATCH(F:F,'CHIRP Payment Calc'!C:C,0))</f>
        <v>0.53</v>
      </c>
      <c r="O302" s="141">
        <f>INDEX('CHIRP Payment Calc'!AL:AL,MATCH(F:F,'CHIRP Payment Calc'!C:C,0))</f>
        <v>0</v>
      </c>
      <c r="P302" s="138">
        <f t="shared" si="38"/>
        <v>364086.34412477532</v>
      </c>
      <c r="Q302" s="139">
        <f t="shared" si="39"/>
        <v>22340.214134726815</v>
      </c>
      <c r="R302" s="139">
        <f t="shared" si="40"/>
        <v>338151.74433732516</v>
      </c>
      <c r="S302" s="139">
        <f t="shared" si="41"/>
        <v>48274.813922176952</v>
      </c>
      <c r="T302" s="139">
        <f t="shared" si="42"/>
        <v>0</v>
      </c>
      <c r="U302" s="139">
        <f t="shared" si="43"/>
        <v>0</v>
      </c>
      <c r="V302" s="140">
        <f t="shared" si="44"/>
        <v>386426.55825950211</v>
      </c>
    </row>
    <row r="303" spans="4:22">
      <c r="D303" s="9" t="s">
        <v>227</v>
      </c>
      <c r="E303" s="9" t="s">
        <v>2291</v>
      </c>
      <c r="F303" s="4" t="s">
        <v>669</v>
      </c>
      <c r="G303" s="9" t="s">
        <v>2790</v>
      </c>
      <c r="H303" s="138">
        <v>727965.57222671027</v>
      </c>
      <c r="I303" s="139">
        <v>526133.31816199364</v>
      </c>
      <c r="J303" s="139">
        <v>67838.646723856873</v>
      </c>
      <c r="K303" s="139">
        <v>3580.2740339672878</v>
      </c>
      <c r="L303" s="139">
        <f t="shared" si="36"/>
        <v>795804.21895056718</v>
      </c>
      <c r="M303" s="140">
        <f t="shared" si="37"/>
        <v>529713.59219596093</v>
      </c>
      <c r="N303" s="21">
        <f>INDEX('CHIRP Payment Calc'!AM:AM,MATCH(F:F,'CHIRP Payment Calc'!C:C,0))</f>
        <v>0.21000000000000002</v>
      </c>
      <c r="O303" s="141">
        <f>INDEX('CHIRP Payment Calc'!AL:AL,MATCH(F:F,'CHIRP Payment Calc'!C:C,0))</f>
        <v>0</v>
      </c>
      <c r="P303" s="138">
        <f t="shared" si="38"/>
        <v>167118.88597961914</v>
      </c>
      <c r="Q303" s="139">
        <f t="shared" si="39"/>
        <v>10235.782015608598</v>
      </c>
      <c r="R303" s="139">
        <f t="shared" si="40"/>
        <v>162199.22564202565</v>
      </c>
      <c r="S303" s="139">
        <f t="shared" si="41"/>
        <v>15155.44235320207</v>
      </c>
      <c r="T303" s="139">
        <f t="shared" si="42"/>
        <v>0</v>
      </c>
      <c r="U303" s="139">
        <f t="shared" si="43"/>
        <v>0</v>
      </c>
      <c r="V303" s="140">
        <f t="shared" si="44"/>
        <v>177354.6679952277</v>
      </c>
    </row>
    <row r="304" spans="4:22">
      <c r="D304" s="9" t="s">
        <v>227</v>
      </c>
      <c r="E304" s="9" t="s">
        <v>2291</v>
      </c>
      <c r="F304" s="4" t="s">
        <v>766</v>
      </c>
      <c r="G304" s="9" t="s">
        <v>2548</v>
      </c>
      <c r="H304" s="138">
        <v>622669.17836635723</v>
      </c>
      <c r="I304" s="139">
        <v>487062.59448275767</v>
      </c>
      <c r="J304" s="139">
        <v>61700.11423090192</v>
      </c>
      <c r="K304" s="139">
        <v>39465.336276658731</v>
      </c>
      <c r="L304" s="139">
        <f t="shared" si="36"/>
        <v>684369.29259725916</v>
      </c>
      <c r="M304" s="140">
        <f t="shared" si="37"/>
        <v>526527.93075941643</v>
      </c>
      <c r="N304" s="21">
        <f>INDEX('CHIRP Payment Calc'!AM:AM,MATCH(F:F,'CHIRP Payment Calc'!C:C,0))</f>
        <v>0.2</v>
      </c>
      <c r="O304" s="141">
        <f>INDEX('CHIRP Payment Calc'!AL:AL,MATCH(F:F,'CHIRP Payment Calc'!C:C,0))</f>
        <v>0</v>
      </c>
      <c r="P304" s="138">
        <f t="shared" si="38"/>
        <v>136873.85851945184</v>
      </c>
      <c r="Q304" s="139">
        <f t="shared" si="39"/>
        <v>8385.2159942342387</v>
      </c>
      <c r="R304" s="139">
        <f t="shared" si="40"/>
        <v>132131.39063477077</v>
      </c>
      <c r="S304" s="139">
        <f t="shared" si="41"/>
        <v>13127.683878915304</v>
      </c>
      <c r="T304" s="139">
        <f t="shared" si="42"/>
        <v>0</v>
      </c>
      <c r="U304" s="139">
        <f t="shared" si="43"/>
        <v>0</v>
      </c>
      <c r="V304" s="140">
        <f t="shared" si="44"/>
        <v>145259.07451368606</v>
      </c>
    </row>
    <row r="305" spans="4:22">
      <c r="D305" s="9" t="s">
        <v>227</v>
      </c>
      <c r="E305" s="9" t="s">
        <v>2291</v>
      </c>
      <c r="F305" s="4" t="s">
        <v>1045</v>
      </c>
      <c r="G305" s="9" t="s">
        <v>2789</v>
      </c>
      <c r="H305" s="138">
        <v>2424568.7572691697</v>
      </c>
      <c r="I305" s="139">
        <v>3853520.6182329641</v>
      </c>
      <c r="J305" s="139">
        <v>531724.74622559664</v>
      </c>
      <c r="K305" s="139">
        <v>1372802.8617259783</v>
      </c>
      <c r="L305" s="139">
        <f t="shared" si="36"/>
        <v>2956293.5034947665</v>
      </c>
      <c r="M305" s="140">
        <f t="shared" si="37"/>
        <v>5226323.4799589422</v>
      </c>
      <c r="N305" s="21">
        <f>INDEX('CHIRP Payment Calc'!AM:AM,MATCH(F:F,'CHIRP Payment Calc'!C:C,0))</f>
        <v>0.30000000000000004</v>
      </c>
      <c r="O305" s="141">
        <f>INDEX('CHIRP Payment Calc'!AL:AL,MATCH(F:F,'CHIRP Payment Calc'!C:C,0))</f>
        <v>0</v>
      </c>
      <c r="P305" s="138">
        <f t="shared" si="38"/>
        <v>886888.05104843015</v>
      </c>
      <c r="Q305" s="139">
        <f t="shared" si="39"/>
        <v>54557.359578798845</v>
      </c>
      <c r="R305" s="139">
        <f t="shared" si="40"/>
        <v>771746.02353395324</v>
      </c>
      <c r="S305" s="139">
        <f t="shared" si="41"/>
        <v>169699.38709327555</v>
      </c>
      <c r="T305" s="139">
        <f t="shared" si="42"/>
        <v>0</v>
      </c>
      <c r="U305" s="139">
        <f t="shared" si="43"/>
        <v>0</v>
      </c>
      <c r="V305" s="140">
        <f t="shared" si="44"/>
        <v>941445.41062722879</v>
      </c>
    </row>
    <row r="306" spans="4:22">
      <c r="D306" s="9" t="s">
        <v>227</v>
      </c>
      <c r="E306" s="9" t="s">
        <v>2291</v>
      </c>
      <c r="F306" s="4" t="s">
        <v>845</v>
      </c>
      <c r="G306" s="9" t="s">
        <v>2868</v>
      </c>
      <c r="H306" s="138">
        <v>849564.09266950341</v>
      </c>
      <c r="I306" s="139">
        <v>1644464.5718199413</v>
      </c>
      <c r="J306" s="139">
        <v>84848.523744289341</v>
      </c>
      <c r="K306" s="139">
        <v>17650.487893776502</v>
      </c>
      <c r="L306" s="139">
        <f t="shared" si="36"/>
        <v>934412.61641379271</v>
      </c>
      <c r="M306" s="140">
        <f t="shared" si="37"/>
        <v>1662115.0597137178</v>
      </c>
      <c r="N306" s="21">
        <f>INDEX('CHIRP Payment Calc'!AM:AM,MATCH(F:F,'CHIRP Payment Calc'!C:C,0))</f>
        <v>0.31</v>
      </c>
      <c r="O306" s="141">
        <f>INDEX('CHIRP Payment Calc'!AL:AL,MATCH(F:F,'CHIRP Payment Calc'!C:C,0))</f>
        <v>0</v>
      </c>
      <c r="P306" s="138">
        <f t="shared" si="38"/>
        <v>289667.91108827572</v>
      </c>
      <c r="Q306" s="139">
        <f t="shared" si="39"/>
        <v>17746.270331534659</v>
      </c>
      <c r="R306" s="139">
        <f t="shared" si="40"/>
        <v>279432.22146158735</v>
      </c>
      <c r="S306" s="139">
        <f t="shared" si="41"/>
        <v>27981.959958223084</v>
      </c>
      <c r="T306" s="139">
        <f t="shared" si="42"/>
        <v>0</v>
      </c>
      <c r="U306" s="139">
        <f t="shared" si="43"/>
        <v>0</v>
      </c>
      <c r="V306" s="140">
        <f t="shared" si="44"/>
        <v>307414.18141981045</v>
      </c>
    </row>
    <row r="307" spans="4:22">
      <c r="D307" s="9" t="s">
        <v>227</v>
      </c>
      <c r="E307" s="9" t="s">
        <v>2291</v>
      </c>
      <c r="F307" s="4" t="s">
        <v>802</v>
      </c>
      <c r="G307" s="9" t="s">
        <v>2922</v>
      </c>
      <c r="H307" s="138">
        <v>127610.34452844097</v>
      </c>
      <c r="I307" s="139">
        <v>44170.700491017706</v>
      </c>
      <c r="J307" s="139">
        <v>29014.379132269762</v>
      </c>
      <c r="K307" s="139">
        <v>1353.7522424774527</v>
      </c>
      <c r="L307" s="139">
        <f t="shared" si="36"/>
        <v>156624.72366071073</v>
      </c>
      <c r="M307" s="140">
        <f t="shared" si="37"/>
        <v>45524.452733495156</v>
      </c>
      <c r="N307" s="21">
        <f>INDEX('CHIRP Payment Calc'!AM:AM,MATCH(F:F,'CHIRP Payment Calc'!C:C,0))</f>
        <v>0.36</v>
      </c>
      <c r="O307" s="141">
        <f>INDEX('CHIRP Payment Calc'!AL:AL,MATCH(F:F,'CHIRP Payment Calc'!C:C,0))</f>
        <v>0</v>
      </c>
      <c r="P307" s="138">
        <f t="shared" si="38"/>
        <v>56384.900517855865</v>
      </c>
      <c r="Q307" s="139">
        <f t="shared" si="39"/>
        <v>3469.4021267669195</v>
      </c>
      <c r="R307" s="139">
        <f t="shared" si="40"/>
        <v>48742.41276417904</v>
      </c>
      <c r="S307" s="139">
        <f t="shared" si="41"/>
        <v>11111.889880443738</v>
      </c>
      <c r="T307" s="139">
        <f t="shared" si="42"/>
        <v>0</v>
      </c>
      <c r="U307" s="139">
        <f t="shared" si="43"/>
        <v>0</v>
      </c>
      <c r="V307" s="140">
        <f t="shared" si="44"/>
        <v>59854.302644622774</v>
      </c>
    </row>
    <row r="308" spans="4:22">
      <c r="D308" s="9" t="s">
        <v>227</v>
      </c>
      <c r="E308" s="9" t="s">
        <v>2291</v>
      </c>
      <c r="F308" s="4" t="s">
        <v>360</v>
      </c>
      <c r="G308" s="9" t="s">
        <v>2688</v>
      </c>
      <c r="H308" s="138">
        <v>548910.35228324938</v>
      </c>
      <c r="I308" s="139">
        <v>1328817.6953314117</v>
      </c>
      <c r="J308" s="139">
        <v>42920.036027045957</v>
      </c>
      <c r="K308" s="139">
        <v>47896.884970363055</v>
      </c>
      <c r="L308" s="139">
        <f t="shared" si="36"/>
        <v>591830.3883102953</v>
      </c>
      <c r="M308" s="140">
        <f t="shared" si="37"/>
        <v>1376714.5803017747</v>
      </c>
      <c r="N308" s="21">
        <f>INDEX('CHIRP Payment Calc'!AM:AM,MATCH(F:F,'CHIRP Payment Calc'!C:C,0))</f>
        <v>0.2</v>
      </c>
      <c r="O308" s="141">
        <f>INDEX('CHIRP Payment Calc'!AL:AL,MATCH(F:F,'CHIRP Payment Calc'!C:C,0))</f>
        <v>0</v>
      </c>
      <c r="P308" s="138">
        <f t="shared" si="38"/>
        <v>118366.07766205906</v>
      </c>
      <c r="Q308" s="139">
        <f t="shared" si="39"/>
        <v>7245.4952487700375</v>
      </c>
      <c r="R308" s="139">
        <f t="shared" si="40"/>
        <v>116479.65035188315</v>
      </c>
      <c r="S308" s="139">
        <f t="shared" si="41"/>
        <v>9131.9225589459493</v>
      </c>
      <c r="T308" s="139">
        <f t="shared" si="42"/>
        <v>0</v>
      </c>
      <c r="U308" s="139">
        <f t="shared" si="43"/>
        <v>0</v>
      </c>
      <c r="V308" s="140">
        <f t="shared" si="44"/>
        <v>125611.5729108291</v>
      </c>
    </row>
    <row r="309" spans="4:22">
      <c r="D309" s="9" t="s">
        <v>227</v>
      </c>
      <c r="E309" s="9" t="s">
        <v>2291</v>
      </c>
      <c r="F309" s="4" t="s">
        <v>736</v>
      </c>
      <c r="G309" s="9" t="s">
        <v>2590</v>
      </c>
      <c r="H309" s="138">
        <v>327331.84715039813</v>
      </c>
      <c r="I309" s="139">
        <v>38108.662556610179</v>
      </c>
      <c r="J309" s="139">
        <v>112242.59522897561</v>
      </c>
      <c r="K309" s="139">
        <v>22965.19965514003</v>
      </c>
      <c r="L309" s="139">
        <f t="shared" si="36"/>
        <v>439574.44237937371</v>
      </c>
      <c r="M309" s="140">
        <f t="shared" si="37"/>
        <v>61073.862211750209</v>
      </c>
      <c r="N309" s="21">
        <f>INDEX('CHIRP Payment Calc'!AM:AM,MATCH(F:F,'CHIRP Payment Calc'!C:C,0))</f>
        <v>0.2</v>
      </c>
      <c r="O309" s="141">
        <f>INDEX('CHIRP Payment Calc'!AL:AL,MATCH(F:F,'CHIRP Payment Calc'!C:C,0))</f>
        <v>0</v>
      </c>
      <c r="P309" s="138">
        <f t="shared" si="38"/>
        <v>87914.888475874744</v>
      </c>
      <c r="Q309" s="139">
        <f t="shared" si="39"/>
        <v>5426.8536821891958</v>
      </c>
      <c r="R309" s="139">
        <f t="shared" si="40"/>
        <v>69460.338917856367</v>
      </c>
      <c r="S309" s="139">
        <f t="shared" si="41"/>
        <v>23881.403240207579</v>
      </c>
      <c r="T309" s="139">
        <f t="shared" si="42"/>
        <v>0</v>
      </c>
      <c r="U309" s="139">
        <f t="shared" si="43"/>
        <v>0</v>
      </c>
      <c r="V309" s="140">
        <f t="shared" si="44"/>
        <v>93341.742158063949</v>
      </c>
    </row>
    <row r="310" spans="4:22">
      <c r="D310" s="9" t="s">
        <v>227</v>
      </c>
      <c r="E310" s="9" t="s">
        <v>2291</v>
      </c>
      <c r="F310" s="4" t="s">
        <v>699</v>
      </c>
      <c r="G310" s="9" t="s">
        <v>2349</v>
      </c>
      <c r="H310" s="138">
        <v>172101.22078627438</v>
      </c>
      <c r="I310" s="139">
        <v>10253.171864927997</v>
      </c>
      <c r="J310" s="139">
        <v>218578.0850547954</v>
      </c>
      <c r="K310" s="139">
        <v>20774.936922526424</v>
      </c>
      <c r="L310" s="139">
        <f t="shared" si="36"/>
        <v>390679.30584106978</v>
      </c>
      <c r="M310" s="140">
        <f t="shared" si="37"/>
        <v>31028.108787454421</v>
      </c>
      <c r="N310" s="21">
        <f>INDEX('CHIRP Payment Calc'!AM:AM,MATCH(F:F,'CHIRP Payment Calc'!C:C,0))</f>
        <v>0.2</v>
      </c>
      <c r="O310" s="141">
        <f>INDEX('CHIRP Payment Calc'!AL:AL,MATCH(F:F,'CHIRP Payment Calc'!C:C,0))</f>
        <v>0</v>
      </c>
      <c r="P310" s="138">
        <f t="shared" si="38"/>
        <v>78135.86116821396</v>
      </c>
      <c r="Q310" s="139">
        <f t="shared" si="39"/>
        <v>4890.2673273540977</v>
      </c>
      <c r="R310" s="139">
        <f t="shared" si="40"/>
        <v>36520.152951994562</v>
      </c>
      <c r="S310" s="139">
        <f t="shared" si="41"/>
        <v>46505.975543573499</v>
      </c>
      <c r="T310" s="139">
        <f t="shared" si="42"/>
        <v>0</v>
      </c>
      <c r="U310" s="139">
        <f t="shared" si="43"/>
        <v>0</v>
      </c>
      <c r="V310" s="140">
        <f t="shared" si="44"/>
        <v>83026.12849556806</v>
      </c>
    </row>
    <row r="311" spans="4:22">
      <c r="D311" s="9" t="s">
        <v>227</v>
      </c>
      <c r="E311" s="9" t="s">
        <v>2291</v>
      </c>
      <c r="F311" s="4" t="s">
        <v>156</v>
      </c>
      <c r="G311" s="9" t="s">
        <v>2801</v>
      </c>
      <c r="H311" s="138">
        <v>588331.47017074923</v>
      </c>
      <c r="I311" s="139">
        <v>78262.686374629484</v>
      </c>
      <c r="J311" s="139">
        <v>220879.70730810682</v>
      </c>
      <c r="K311" s="139">
        <v>70103.725371131426</v>
      </c>
      <c r="L311" s="139">
        <f t="shared" si="36"/>
        <v>809211.17747885606</v>
      </c>
      <c r="M311" s="140">
        <f t="shared" si="37"/>
        <v>148366.41174576091</v>
      </c>
      <c r="N311" s="21">
        <f>INDEX('CHIRP Payment Calc'!AM:AM,MATCH(F:F,'CHIRP Payment Calc'!C:C,0))</f>
        <v>0.34</v>
      </c>
      <c r="O311" s="141">
        <f>INDEX('CHIRP Payment Calc'!AL:AL,MATCH(F:F,'CHIRP Payment Calc'!C:C,0))</f>
        <v>0</v>
      </c>
      <c r="P311" s="138">
        <f t="shared" si="38"/>
        <v>275131.8003428111</v>
      </c>
      <c r="Q311" s="139">
        <f t="shared" si="39"/>
        <v>16997.146068898732</v>
      </c>
      <c r="R311" s="139">
        <f t="shared" si="40"/>
        <v>212236.28632154354</v>
      </c>
      <c r="S311" s="139">
        <f t="shared" si="41"/>
        <v>79892.660090166304</v>
      </c>
      <c r="T311" s="139">
        <f t="shared" si="42"/>
        <v>0</v>
      </c>
      <c r="U311" s="139">
        <f t="shared" si="43"/>
        <v>0</v>
      </c>
      <c r="V311" s="140">
        <f t="shared" si="44"/>
        <v>292128.94641170983</v>
      </c>
    </row>
    <row r="312" spans="4:22">
      <c r="D312" s="9" t="s">
        <v>227</v>
      </c>
      <c r="E312" s="9" t="s">
        <v>2291</v>
      </c>
      <c r="F312" s="4" t="s">
        <v>1744</v>
      </c>
      <c r="G312" s="9" t="s">
        <v>2691</v>
      </c>
      <c r="H312" s="138">
        <v>0</v>
      </c>
      <c r="I312" s="139">
        <v>71186.589397373493</v>
      </c>
      <c r="J312" s="139">
        <v>2462.626211352595</v>
      </c>
      <c r="K312" s="139">
        <v>6905.6387783913206</v>
      </c>
      <c r="L312" s="139">
        <f t="shared" si="36"/>
        <v>2462.626211352595</v>
      </c>
      <c r="M312" s="140">
        <f t="shared" si="37"/>
        <v>78092.228175764816</v>
      </c>
      <c r="N312" s="21">
        <f>INDEX('CHIRP Payment Calc'!AM:AM,MATCH(F:F,'CHIRP Payment Calc'!C:C,0))</f>
        <v>2.48</v>
      </c>
      <c r="O312" s="141">
        <f>INDEX('CHIRP Payment Calc'!AL:AL,MATCH(F:F,'CHIRP Payment Calc'!C:C,0))</f>
        <v>0</v>
      </c>
      <c r="P312" s="138">
        <f t="shared" si="38"/>
        <v>6107.3130041544355</v>
      </c>
      <c r="Q312" s="139">
        <f t="shared" si="39"/>
        <v>389.82848962687888</v>
      </c>
      <c r="R312" s="139">
        <f t="shared" si="40"/>
        <v>0</v>
      </c>
      <c r="S312" s="139">
        <f t="shared" si="41"/>
        <v>6497.1414937813142</v>
      </c>
      <c r="T312" s="139">
        <f t="shared" si="42"/>
        <v>0</v>
      </c>
      <c r="U312" s="139">
        <f t="shared" si="43"/>
        <v>0</v>
      </c>
      <c r="V312" s="140">
        <f t="shared" si="44"/>
        <v>6497.1414937813142</v>
      </c>
    </row>
    <row r="313" spans="4:22">
      <c r="D313" s="9" t="s">
        <v>227</v>
      </c>
      <c r="E313" s="9" t="s">
        <v>2291</v>
      </c>
      <c r="F313" s="4" t="s">
        <v>957</v>
      </c>
      <c r="G313" s="9" t="s">
        <v>2919</v>
      </c>
      <c r="H313" s="138">
        <v>1080320.1172072582</v>
      </c>
      <c r="I313" s="139">
        <v>2361114.0965068005</v>
      </c>
      <c r="J313" s="139">
        <v>280332.26758284803</v>
      </c>
      <c r="K313" s="139">
        <v>374419.70867086254</v>
      </c>
      <c r="L313" s="139">
        <f t="shared" si="36"/>
        <v>1360652.3847901062</v>
      </c>
      <c r="M313" s="140">
        <f t="shared" si="37"/>
        <v>2735533.805177663</v>
      </c>
      <c r="N313" s="21">
        <f>INDEX('CHIRP Payment Calc'!AM:AM,MATCH(F:F,'CHIRP Payment Calc'!C:C,0))</f>
        <v>0.25</v>
      </c>
      <c r="O313" s="141">
        <f>INDEX('CHIRP Payment Calc'!AL:AL,MATCH(F:F,'CHIRP Payment Calc'!C:C,0))</f>
        <v>0</v>
      </c>
      <c r="P313" s="138">
        <f t="shared" si="38"/>
        <v>340163.09619752655</v>
      </c>
      <c r="Q313" s="139">
        <f t="shared" si="39"/>
        <v>20950.418214025158</v>
      </c>
      <c r="R313" s="139">
        <f t="shared" si="40"/>
        <v>286557.06026717724</v>
      </c>
      <c r="S313" s="139">
        <f t="shared" si="41"/>
        <v>74556.454144374482</v>
      </c>
      <c r="T313" s="139">
        <f t="shared" si="42"/>
        <v>0</v>
      </c>
      <c r="U313" s="139">
        <f t="shared" si="43"/>
        <v>0</v>
      </c>
      <c r="V313" s="140">
        <f t="shared" si="44"/>
        <v>361113.5144115517</v>
      </c>
    </row>
    <row r="314" spans="4:22">
      <c r="D314" s="9" t="s">
        <v>227</v>
      </c>
      <c r="E314" s="9" t="s">
        <v>2291</v>
      </c>
      <c r="F314" s="4" t="s">
        <v>733</v>
      </c>
      <c r="G314" s="9" t="s">
        <v>2389</v>
      </c>
      <c r="H314" s="138">
        <v>213805.81472708509</v>
      </c>
      <c r="I314" s="139">
        <v>16357.564635527253</v>
      </c>
      <c r="J314" s="139">
        <v>7169.0064574984372</v>
      </c>
      <c r="K314" s="139">
        <v>0</v>
      </c>
      <c r="L314" s="139">
        <f t="shared" si="36"/>
        <v>220974.82118458353</v>
      </c>
      <c r="M314" s="140">
        <f t="shared" si="37"/>
        <v>16357.564635527253</v>
      </c>
      <c r="N314" s="21">
        <f>INDEX('CHIRP Payment Calc'!AM:AM,MATCH(F:F,'CHIRP Payment Calc'!C:C,0))</f>
        <v>0.2</v>
      </c>
      <c r="O314" s="141">
        <f>INDEX('CHIRP Payment Calc'!AL:AL,MATCH(F:F,'CHIRP Payment Calc'!C:C,0))</f>
        <v>0</v>
      </c>
      <c r="P314" s="138">
        <f t="shared" si="38"/>
        <v>44194.964236916712</v>
      </c>
      <c r="Q314" s="139">
        <f t="shared" si="39"/>
        <v>2700.2904455489561</v>
      </c>
      <c r="R314" s="139">
        <f t="shared" si="40"/>
        <v>45369.934159593657</v>
      </c>
      <c r="S314" s="139">
        <f t="shared" si="41"/>
        <v>1525.320522872008</v>
      </c>
      <c r="T314" s="139">
        <f t="shared" si="42"/>
        <v>0</v>
      </c>
      <c r="U314" s="139">
        <f t="shared" si="43"/>
        <v>0</v>
      </c>
      <c r="V314" s="140">
        <f t="shared" si="44"/>
        <v>46895.254682465667</v>
      </c>
    </row>
    <row r="315" spans="4:22">
      <c r="D315" s="9" t="s">
        <v>227</v>
      </c>
      <c r="E315" s="9" t="s">
        <v>2950</v>
      </c>
      <c r="F315" s="4" t="s">
        <v>2308</v>
      </c>
      <c r="G315" s="9" t="s">
        <v>2879</v>
      </c>
      <c r="H315" s="138">
        <v>0</v>
      </c>
      <c r="I315" s="139">
        <v>878949.86726895475</v>
      </c>
      <c r="J315" s="139">
        <v>0</v>
      </c>
      <c r="K315" s="139">
        <v>0</v>
      </c>
      <c r="L315" s="139">
        <f t="shared" si="36"/>
        <v>0</v>
      </c>
      <c r="M315" s="140">
        <f t="shared" si="37"/>
        <v>878949.86726895475</v>
      </c>
      <c r="N315" s="21">
        <f>INDEX('CHIRP Payment Calc'!AM:AM,MATCH(F:F,'CHIRP Payment Calc'!C:C,0))</f>
        <v>0</v>
      </c>
      <c r="O315" s="141">
        <f>INDEX('CHIRP Payment Calc'!AL:AL,MATCH(F:F,'CHIRP Payment Calc'!C:C,0))</f>
        <v>0.39</v>
      </c>
      <c r="P315" s="138">
        <f t="shared" si="38"/>
        <v>342790.44823489239</v>
      </c>
      <c r="Q315" s="139">
        <f t="shared" si="39"/>
        <v>20912.945117778581</v>
      </c>
      <c r="R315" s="139">
        <f t="shared" si="40"/>
        <v>0</v>
      </c>
      <c r="S315" s="139">
        <f t="shared" si="41"/>
        <v>0</v>
      </c>
      <c r="T315" s="139">
        <f t="shared" si="42"/>
        <v>363703.39335267094</v>
      </c>
      <c r="U315" s="139">
        <f t="shared" si="43"/>
        <v>0</v>
      </c>
      <c r="V315" s="140">
        <f t="shared" si="44"/>
        <v>363703.39335267094</v>
      </c>
    </row>
    <row r="316" spans="4:22">
      <c r="D316" s="9" t="s">
        <v>227</v>
      </c>
      <c r="E316" s="9" t="s">
        <v>2950</v>
      </c>
      <c r="F316" s="4" t="s">
        <v>2321</v>
      </c>
      <c r="G316" s="9" t="s">
        <v>2877</v>
      </c>
      <c r="H316" s="138">
        <v>0</v>
      </c>
      <c r="I316" s="139">
        <v>0</v>
      </c>
      <c r="J316" s="139">
        <v>0</v>
      </c>
      <c r="K316" s="139">
        <v>0</v>
      </c>
      <c r="L316" s="139">
        <f t="shared" si="36"/>
        <v>0</v>
      </c>
      <c r="M316" s="140">
        <f t="shared" si="37"/>
        <v>0</v>
      </c>
      <c r="N316" s="21">
        <f>INDEX('CHIRP Payment Calc'!AM:AM,MATCH(F:F,'CHIRP Payment Calc'!C:C,0))</f>
        <v>0</v>
      </c>
      <c r="O316" s="141">
        <f>INDEX('CHIRP Payment Calc'!AL:AL,MATCH(F:F,'CHIRP Payment Calc'!C:C,0))</f>
        <v>0.39</v>
      </c>
      <c r="P316" s="138">
        <f t="shared" si="38"/>
        <v>0</v>
      </c>
      <c r="Q316" s="139">
        <f t="shared" si="39"/>
        <v>0</v>
      </c>
      <c r="R316" s="139">
        <f t="shared" si="40"/>
        <v>0</v>
      </c>
      <c r="S316" s="139">
        <f t="shared" si="41"/>
        <v>0</v>
      </c>
      <c r="T316" s="139">
        <f t="shared" si="42"/>
        <v>0</v>
      </c>
      <c r="U316" s="139">
        <f t="shared" si="43"/>
        <v>0</v>
      </c>
      <c r="V316" s="140">
        <f t="shared" si="44"/>
        <v>0</v>
      </c>
    </row>
    <row r="317" spans="4:22">
      <c r="D317" s="9" t="s">
        <v>227</v>
      </c>
      <c r="E317" s="9" t="s">
        <v>2950</v>
      </c>
      <c r="F317" s="4" t="s">
        <v>2306</v>
      </c>
      <c r="G317" s="9" t="s">
        <v>2878</v>
      </c>
      <c r="H317" s="138">
        <v>0</v>
      </c>
      <c r="I317" s="139">
        <v>236249.48514534946</v>
      </c>
      <c r="J317" s="139">
        <v>0</v>
      </c>
      <c r="K317" s="139">
        <v>0</v>
      </c>
      <c r="L317" s="139">
        <f t="shared" si="36"/>
        <v>0</v>
      </c>
      <c r="M317" s="140">
        <f t="shared" si="37"/>
        <v>236249.48514534946</v>
      </c>
      <c r="N317" s="21">
        <f>INDEX('CHIRP Payment Calc'!AM:AM,MATCH(F:F,'CHIRP Payment Calc'!C:C,0))</f>
        <v>0</v>
      </c>
      <c r="O317" s="141">
        <f>INDEX('CHIRP Payment Calc'!AL:AL,MATCH(F:F,'CHIRP Payment Calc'!C:C,0))</f>
        <v>0.39</v>
      </c>
      <c r="P317" s="138">
        <f t="shared" si="38"/>
        <v>92137.299206686293</v>
      </c>
      <c r="Q317" s="139">
        <f t="shared" si="39"/>
        <v>5621.1084396652122</v>
      </c>
      <c r="R317" s="139">
        <f t="shared" si="40"/>
        <v>0</v>
      </c>
      <c r="S317" s="139">
        <f t="shared" si="41"/>
        <v>0</v>
      </c>
      <c r="T317" s="139">
        <f t="shared" si="42"/>
        <v>97758.407646351508</v>
      </c>
      <c r="U317" s="139">
        <f t="shared" si="43"/>
        <v>0</v>
      </c>
      <c r="V317" s="140">
        <f t="shared" si="44"/>
        <v>97758.407646351508</v>
      </c>
    </row>
    <row r="318" spans="4:22">
      <c r="D318" s="9" t="s">
        <v>227</v>
      </c>
      <c r="E318" s="9" t="s">
        <v>2950</v>
      </c>
      <c r="F318" s="4" t="s">
        <v>2304</v>
      </c>
      <c r="G318" s="9" t="s">
        <v>2686</v>
      </c>
      <c r="H318" s="138">
        <v>0</v>
      </c>
      <c r="I318" s="139">
        <v>0</v>
      </c>
      <c r="J318" s="139">
        <v>0</v>
      </c>
      <c r="K318" s="139">
        <v>0</v>
      </c>
      <c r="L318" s="139">
        <f t="shared" si="36"/>
        <v>0</v>
      </c>
      <c r="M318" s="140">
        <f t="shared" si="37"/>
        <v>0</v>
      </c>
      <c r="N318" s="21">
        <f>INDEX('CHIRP Payment Calc'!AM:AM,MATCH(F:F,'CHIRP Payment Calc'!C:C,0))</f>
        <v>0</v>
      </c>
      <c r="O318" s="141">
        <f>INDEX('CHIRP Payment Calc'!AL:AL,MATCH(F:F,'CHIRP Payment Calc'!C:C,0))</f>
        <v>0.39</v>
      </c>
      <c r="P318" s="138">
        <f t="shared" si="38"/>
        <v>0</v>
      </c>
      <c r="Q318" s="139">
        <f t="shared" si="39"/>
        <v>0</v>
      </c>
      <c r="R318" s="139">
        <f t="shared" si="40"/>
        <v>0</v>
      </c>
      <c r="S318" s="139">
        <f t="shared" si="41"/>
        <v>0</v>
      </c>
      <c r="T318" s="139">
        <f t="shared" si="42"/>
        <v>0</v>
      </c>
      <c r="U318" s="139">
        <f t="shared" si="43"/>
        <v>0</v>
      </c>
      <c r="V318" s="140">
        <f t="shared" si="44"/>
        <v>0</v>
      </c>
    </row>
    <row r="319" spans="4:22">
      <c r="D319" s="9" t="s">
        <v>227</v>
      </c>
      <c r="E319" s="9" t="s">
        <v>2279</v>
      </c>
      <c r="F319" s="4" t="s">
        <v>463</v>
      </c>
      <c r="G319" s="9" t="s">
        <v>2390</v>
      </c>
      <c r="H319" s="138">
        <v>4002919.2076970963</v>
      </c>
      <c r="I319" s="139">
        <v>8140646.170076794</v>
      </c>
      <c r="J319" s="139">
        <v>1631241.3651343868</v>
      </c>
      <c r="K319" s="139">
        <v>6101682.4531594682</v>
      </c>
      <c r="L319" s="139">
        <f t="shared" si="36"/>
        <v>5634160.5728314836</v>
      </c>
      <c r="M319" s="140">
        <f t="shared" si="37"/>
        <v>14242328.623236261</v>
      </c>
      <c r="N319" s="21">
        <f>INDEX('CHIRP Payment Calc'!AM:AM,MATCH(F:F,'CHIRP Payment Calc'!C:C,0))</f>
        <v>1.33</v>
      </c>
      <c r="O319" s="141">
        <f>INDEX('CHIRP Payment Calc'!AL:AL,MATCH(F:F,'CHIRP Payment Calc'!C:C,0))</f>
        <v>1.4000000000000001</v>
      </c>
      <c r="P319" s="138">
        <f t="shared" si="38"/>
        <v>27432693.634396642</v>
      </c>
      <c r="Q319" s="139">
        <f t="shared" si="39"/>
        <v>1703839.784484755</v>
      </c>
      <c r="R319" s="139">
        <f t="shared" si="40"/>
        <v>5648681.7466707034</v>
      </c>
      <c r="S319" s="139">
        <f t="shared" si="41"/>
        <v>2308032.9953497178</v>
      </c>
      <c r="T319" s="139">
        <f t="shared" si="42"/>
        <v>12092206.512580916</v>
      </c>
      <c r="U319" s="139">
        <f t="shared" si="43"/>
        <v>9087612.1642800607</v>
      </c>
      <c r="V319" s="140">
        <f t="shared" si="44"/>
        <v>29136533.418881398</v>
      </c>
    </row>
    <row r="320" spans="4:22">
      <c r="D320" s="9" t="s">
        <v>227</v>
      </c>
      <c r="E320" s="9" t="s">
        <v>2279</v>
      </c>
      <c r="F320" s="4" t="s">
        <v>890</v>
      </c>
      <c r="G320" s="9" t="s">
        <v>2931</v>
      </c>
      <c r="H320" s="138">
        <v>4372267.0245539853</v>
      </c>
      <c r="I320" s="139">
        <v>6264955.4254670767</v>
      </c>
      <c r="J320" s="139">
        <v>730067.46828553837</v>
      </c>
      <c r="K320" s="139">
        <v>1745829.8714859027</v>
      </c>
      <c r="L320" s="139">
        <f t="shared" si="36"/>
        <v>5102334.4928395236</v>
      </c>
      <c r="M320" s="140">
        <f t="shared" si="37"/>
        <v>8010785.2969529796</v>
      </c>
      <c r="N320" s="21">
        <f>INDEX('CHIRP Payment Calc'!AM:AM,MATCH(F:F,'CHIRP Payment Calc'!C:C,0))</f>
        <v>0.85000000000000009</v>
      </c>
      <c r="O320" s="141">
        <f>INDEX('CHIRP Payment Calc'!AL:AL,MATCH(F:F,'CHIRP Payment Calc'!C:C,0))</f>
        <v>0.28999999999999998</v>
      </c>
      <c r="P320" s="138">
        <f t="shared" si="38"/>
        <v>6660112.0550299603</v>
      </c>
      <c r="Q320" s="139">
        <f t="shared" si="39"/>
        <v>409499.60675128771</v>
      </c>
      <c r="R320" s="139">
        <f t="shared" si="40"/>
        <v>3943158.5897834352</v>
      </c>
      <c r="S320" s="139">
        <f t="shared" si="41"/>
        <v>660167.3915347954</v>
      </c>
      <c r="T320" s="139">
        <f t="shared" si="42"/>
        <v>1927678.592451408</v>
      </c>
      <c r="U320" s="139">
        <f t="shared" si="43"/>
        <v>538607.08801160823</v>
      </c>
      <c r="V320" s="140">
        <f t="shared" si="44"/>
        <v>7069611.6617812468</v>
      </c>
    </row>
    <row r="321" spans="4:22">
      <c r="D321" s="9" t="s">
        <v>227</v>
      </c>
      <c r="E321" s="9" t="s">
        <v>2279</v>
      </c>
      <c r="F321" s="4" t="s">
        <v>2952</v>
      </c>
      <c r="G321" s="9" t="s">
        <v>2871</v>
      </c>
      <c r="H321" s="138">
        <v>0</v>
      </c>
      <c r="I321" s="139">
        <v>0</v>
      </c>
      <c r="J321" s="139">
        <v>0</v>
      </c>
      <c r="K321" s="139">
        <v>0</v>
      </c>
      <c r="L321" s="139">
        <f t="shared" si="36"/>
        <v>0</v>
      </c>
      <c r="M321" s="140">
        <f t="shared" si="37"/>
        <v>0</v>
      </c>
      <c r="N321" s="21">
        <f>INDEX('CHIRP Payment Calc'!AM:AM,MATCH(F:F,'CHIRP Payment Calc'!C:C,0))</f>
        <v>0.79</v>
      </c>
      <c r="O321" s="141">
        <f>INDEX('CHIRP Payment Calc'!AL:AL,MATCH(F:F,'CHIRP Payment Calc'!C:C,0))</f>
        <v>0.28999999999999998</v>
      </c>
      <c r="P321" s="138">
        <f t="shared" si="38"/>
        <v>0</v>
      </c>
      <c r="Q321" s="139">
        <f t="shared" si="39"/>
        <v>0</v>
      </c>
      <c r="R321" s="139">
        <f t="shared" si="40"/>
        <v>0</v>
      </c>
      <c r="S321" s="139">
        <f t="shared" si="41"/>
        <v>0</v>
      </c>
      <c r="T321" s="139">
        <f t="shared" si="42"/>
        <v>0</v>
      </c>
      <c r="U321" s="139">
        <f t="shared" si="43"/>
        <v>0</v>
      </c>
      <c r="V321" s="140">
        <f t="shared" si="44"/>
        <v>0</v>
      </c>
    </row>
    <row r="322" spans="4:22">
      <c r="D322" s="9" t="s">
        <v>227</v>
      </c>
      <c r="E322" s="9" t="s">
        <v>2279</v>
      </c>
      <c r="F322" s="4" t="s">
        <v>748</v>
      </c>
      <c r="G322" s="9" t="s">
        <v>2343</v>
      </c>
      <c r="H322" s="138">
        <v>6125117.1964659737</v>
      </c>
      <c r="I322" s="139">
        <v>10502597.482521368</v>
      </c>
      <c r="J322" s="139">
        <v>3141818.0065254197</v>
      </c>
      <c r="K322" s="139">
        <v>4876156.4275043774</v>
      </c>
      <c r="L322" s="139">
        <f t="shared" si="36"/>
        <v>9266935.2029913925</v>
      </c>
      <c r="M322" s="140">
        <f t="shared" si="37"/>
        <v>15378753.910025746</v>
      </c>
      <c r="N322" s="21">
        <f>INDEX('CHIRP Payment Calc'!AM:AM,MATCH(F:F,'CHIRP Payment Calc'!C:C,0))</f>
        <v>0.79</v>
      </c>
      <c r="O322" s="141">
        <f>INDEX('CHIRP Payment Calc'!AL:AL,MATCH(F:F,'CHIRP Payment Calc'!C:C,0))</f>
        <v>1.1499999999999999</v>
      </c>
      <c r="P322" s="138">
        <f t="shared" si="38"/>
        <v>25006445.806892805</v>
      </c>
      <c r="Q322" s="139">
        <f t="shared" si="39"/>
        <v>1548419.7033179291</v>
      </c>
      <c r="R322" s="139">
        <f t="shared" si="40"/>
        <v>5134050.488284477</v>
      </c>
      <c r="S322" s="139">
        <f t="shared" si="41"/>
        <v>2640464.0693139168</v>
      </c>
      <c r="T322" s="139">
        <f t="shared" si="42"/>
        <v>12814840.429601669</v>
      </c>
      <c r="U322" s="139">
        <f t="shared" si="43"/>
        <v>5965510.5230106749</v>
      </c>
      <c r="V322" s="140">
        <f t="shared" si="44"/>
        <v>26554865.510210738</v>
      </c>
    </row>
    <row r="323" spans="4:22">
      <c r="D323" s="9" t="s">
        <v>227</v>
      </c>
      <c r="E323" s="9" t="s">
        <v>2279</v>
      </c>
      <c r="F323" s="4" t="s">
        <v>1432</v>
      </c>
      <c r="G323" s="9" t="s">
        <v>2630</v>
      </c>
      <c r="H323" s="138">
        <v>0</v>
      </c>
      <c r="I323" s="139">
        <v>178721.46853699477</v>
      </c>
      <c r="J323" s="139">
        <v>0</v>
      </c>
      <c r="K323" s="139">
        <v>634329.21325379785</v>
      </c>
      <c r="L323" s="139">
        <f t="shared" si="36"/>
        <v>0</v>
      </c>
      <c r="M323" s="140">
        <f t="shared" si="37"/>
        <v>813050.68179079262</v>
      </c>
      <c r="N323" s="21">
        <f>INDEX('CHIRP Payment Calc'!AM:AM,MATCH(F:F,'CHIRP Payment Calc'!C:C,0))</f>
        <v>0.79</v>
      </c>
      <c r="O323" s="141">
        <f>INDEX('CHIRP Payment Calc'!AL:AL,MATCH(F:F,'CHIRP Payment Calc'!C:C,0))</f>
        <v>0.28999999999999998</v>
      </c>
      <c r="P323" s="138">
        <f t="shared" si="38"/>
        <v>235784.69771932985</v>
      </c>
      <c r="Q323" s="139">
        <f t="shared" si="39"/>
        <v>14903.833840892583</v>
      </c>
      <c r="R323" s="139">
        <f t="shared" si="40"/>
        <v>0</v>
      </c>
      <c r="S323" s="139">
        <f t="shared" si="41"/>
        <v>0</v>
      </c>
      <c r="T323" s="139">
        <f t="shared" si="42"/>
        <v>54991.221088306083</v>
      </c>
      <c r="U323" s="139">
        <f t="shared" si="43"/>
        <v>195697.31047191637</v>
      </c>
      <c r="V323" s="140">
        <f t="shared" si="44"/>
        <v>250688.53156022244</v>
      </c>
    </row>
    <row r="324" spans="4:22">
      <c r="D324" s="9" t="s">
        <v>227</v>
      </c>
      <c r="E324" s="9" t="s">
        <v>2279</v>
      </c>
      <c r="F324" s="4" t="s">
        <v>1393</v>
      </c>
      <c r="G324" s="9" t="s">
        <v>2673</v>
      </c>
      <c r="H324" s="138">
        <v>0</v>
      </c>
      <c r="I324" s="139">
        <v>0</v>
      </c>
      <c r="J324" s="139">
        <v>0</v>
      </c>
      <c r="K324" s="139">
        <v>0</v>
      </c>
      <c r="L324" s="139">
        <f t="shared" si="36"/>
        <v>0</v>
      </c>
      <c r="M324" s="140">
        <f t="shared" si="37"/>
        <v>0</v>
      </c>
      <c r="N324" s="21">
        <f>INDEX('CHIRP Payment Calc'!AM:AM,MATCH(F:F,'CHIRP Payment Calc'!C:C,0))</f>
        <v>0.79</v>
      </c>
      <c r="O324" s="141">
        <f>INDEX('CHIRP Payment Calc'!AL:AL,MATCH(F:F,'CHIRP Payment Calc'!C:C,0))</f>
        <v>0.28999999999999998</v>
      </c>
      <c r="P324" s="138">
        <f t="shared" si="38"/>
        <v>0</v>
      </c>
      <c r="Q324" s="139">
        <f t="shared" si="39"/>
        <v>0</v>
      </c>
      <c r="R324" s="139">
        <f t="shared" si="40"/>
        <v>0</v>
      </c>
      <c r="S324" s="139">
        <f t="shared" si="41"/>
        <v>0</v>
      </c>
      <c r="T324" s="139">
        <f t="shared" si="42"/>
        <v>0</v>
      </c>
      <c r="U324" s="139">
        <f t="shared" si="43"/>
        <v>0</v>
      </c>
      <c r="V324" s="140">
        <f t="shared" si="44"/>
        <v>0</v>
      </c>
    </row>
    <row r="325" spans="4:22">
      <c r="D325" s="9" t="s">
        <v>227</v>
      </c>
      <c r="E325" s="9" t="s">
        <v>2279</v>
      </c>
      <c r="F325" s="4" t="s">
        <v>1163</v>
      </c>
      <c r="G325" s="9" t="s">
        <v>2659</v>
      </c>
      <c r="H325" s="138">
        <v>3690839.4591952739</v>
      </c>
      <c r="I325" s="139">
        <v>9703866.6053986792</v>
      </c>
      <c r="J325" s="139">
        <v>1282042.100053692</v>
      </c>
      <c r="K325" s="139">
        <v>2870919.7822520728</v>
      </c>
      <c r="L325" s="139">
        <f t="shared" ref="L325:L388" si="45">H325+J325</f>
        <v>4972881.5592489662</v>
      </c>
      <c r="M325" s="140">
        <f t="shared" ref="M325:M388" si="46">I325+K325</f>
        <v>12574786.387650752</v>
      </c>
      <c r="N325" s="21">
        <f>INDEX('CHIRP Payment Calc'!AM:AM,MATCH(F:F,'CHIRP Payment Calc'!C:C,0))</f>
        <v>0.79</v>
      </c>
      <c r="O325" s="141">
        <f>INDEX('CHIRP Payment Calc'!AL:AL,MATCH(F:F,'CHIRP Payment Calc'!C:C,0))</f>
        <v>0.55000000000000004</v>
      </c>
      <c r="P325" s="138">
        <f t="shared" ref="P325:P388" si="47">(L325*N325)+(M325*O325)</f>
        <v>10844708.945014598</v>
      </c>
      <c r="Q325" s="139">
        <f t="shared" ref="Q325:Q388" si="48">(R325+T325)*$B$10+(S325+U325)*$B$11</f>
        <v>668927.21522235079</v>
      </c>
      <c r="R325" s="139">
        <f t="shared" ref="R325:R388" si="49">H325/(1-$B$10)*N325</f>
        <v>3093647.9286623518</v>
      </c>
      <c r="S325" s="139">
        <f t="shared" ref="S325:S388" si="50">J325/(1-$B$11)*N325</f>
        <v>1077460.9138749114</v>
      </c>
      <c r="T325" s="139">
        <f t="shared" ref="T325:T388" si="51">I325/(1-$B$10)*O325</f>
        <v>5662733.8280841103</v>
      </c>
      <c r="U325" s="139">
        <f t="shared" ref="U325:U388" si="52">K325/(1-$B$11)*O325</f>
        <v>1679793.4896155747</v>
      </c>
      <c r="V325" s="140">
        <f t="shared" ref="V325:V388" si="53">SUM(R325:U325)</f>
        <v>11513636.160236947</v>
      </c>
    </row>
    <row r="326" spans="4:22">
      <c r="D326" s="9" t="s">
        <v>227</v>
      </c>
      <c r="E326" s="9" t="s">
        <v>2279</v>
      </c>
      <c r="F326" s="4" t="s">
        <v>945</v>
      </c>
      <c r="G326" s="9" t="s">
        <v>2889</v>
      </c>
      <c r="H326" s="138">
        <v>2032731.6184244317</v>
      </c>
      <c r="I326" s="139">
        <v>11342330.757655056</v>
      </c>
      <c r="J326" s="139">
        <v>245897.31841839419</v>
      </c>
      <c r="K326" s="139">
        <v>605965.68022579071</v>
      </c>
      <c r="L326" s="139">
        <f t="shared" si="45"/>
        <v>2278628.9368428257</v>
      </c>
      <c r="M326" s="140">
        <f t="shared" si="46"/>
        <v>11948296.437880848</v>
      </c>
      <c r="N326" s="21">
        <f>INDEX('CHIRP Payment Calc'!AM:AM,MATCH(F:F,'CHIRP Payment Calc'!C:C,0))</f>
        <v>0.98</v>
      </c>
      <c r="O326" s="141">
        <f>INDEX('CHIRP Payment Calc'!AL:AL,MATCH(F:F,'CHIRP Payment Calc'!C:C,0))</f>
        <v>1.3800000000000001</v>
      </c>
      <c r="P326" s="138">
        <f t="shared" si="47"/>
        <v>18721705.442381542</v>
      </c>
      <c r="Q326" s="139">
        <f t="shared" si="48"/>
        <v>1145212.7198912199</v>
      </c>
      <c r="R326" s="139">
        <f t="shared" si="49"/>
        <v>2113609.5342768626</v>
      </c>
      <c r="S326" s="139">
        <f t="shared" si="50"/>
        <v>256361.03409577269</v>
      </c>
      <c r="T326" s="139">
        <f t="shared" si="51"/>
        <v>16607338.40378141</v>
      </c>
      <c r="U326" s="139">
        <f t="shared" si="52"/>
        <v>889609.19011871412</v>
      </c>
      <c r="V326" s="140">
        <f t="shared" si="53"/>
        <v>19866918.162272759</v>
      </c>
    </row>
    <row r="327" spans="4:22">
      <c r="D327" s="9" t="s">
        <v>227</v>
      </c>
      <c r="E327" s="9" t="s">
        <v>2279</v>
      </c>
      <c r="F327" s="4" t="s">
        <v>1426</v>
      </c>
      <c r="G327" s="9" t="s">
        <v>2640</v>
      </c>
      <c r="H327" s="138">
        <v>0</v>
      </c>
      <c r="I327" s="139">
        <v>320713.76380096312</v>
      </c>
      <c r="J327" s="139">
        <v>0</v>
      </c>
      <c r="K327" s="139">
        <v>685763.56271495856</v>
      </c>
      <c r="L327" s="139">
        <f t="shared" si="45"/>
        <v>0</v>
      </c>
      <c r="M327" s="140">
        <f t="shared" si="46"/>
        <v>1006477.3265159216</v>
      </c>
      <c r="N327" s="21">
        <f>INDEX('CHIRP Payment Calc'!AM:AM,MATCH(F:F,'CHIRP Payment Calc'!C:C,0))</f>
        <v>0.79</v>
      </c>
      <c r="O327" s="141">
        <f>INDEX('CHIRP Payment Calc'!AL:AL,MATCH(F:F,'CHIRP Payment Calc'!C:C,0))</f>
        <v>0.28999999999999998</v>
      </c>
      <c r="P327" s="138">
        <f t="shared" si="47"/>
        <v>291878.42468961724</v>
      </c>
      <c r="Q327" s="139">
        <f t="shared" si="48"/>
        <v>18368.087857601626</v>
      </c>
      <c r="R327" s="139">
        <f t="shared" si="49"/>
        <v>0</v>
      </c>
      <c r="S327" s="139">
        <f t="shared" si="50"/>
        <v>0</v>
      </c>
      <c r="T327" s="139">
        <f t="shared" si="51"/>
        <v>98681.158092604033</v>
      </c>
      <c r="U327" s="139">
        <f t="shared" si="52"/>
        <v>211565.35445461486</v>
      </c>
      <c r="V327" s="140">
        <f t="shared" si="53"/>
        <v>310246.51254721888</v>
      </c>
    </row>
    <row r="328" spans="4:22">
      <c r="D328" s="9" t="s">
        <v>227</v>
      </c>
      <c r="E328" s="9" t="s">
        <v>2279</v>
      </c>
      <c r="F328" s="4" t="s">
        <v>1619</v>
      </c>
      <c r="G328" s="9" t="s">
        <v>2337</v>
      </c>
      <c r="H328" s="138">
        <v>2986686.3815226816</v>
      </c>
      <c r="I328" s="139">
        <v>4931096.1753708124</v>
      </c>
      <c r="J328" s="139">
        <v>1749861.4769518543</v>
      </c>
      <c r="K328" s="139">
        <v>3260865.4060854176</v>
      </c>
      <c r="L328" s="139">
        <f t="shared" si="45"/>
        <v>4736547.8584745359</v>
      </c>
      <c r="M328" s="140">
        <f t="shared" si="46"/>
        <v>8191961.58145623</v>
      </c>
      <c r="N328" s="21">
        <f>INDEX('CHIRP Payment Calc'!AM:AM,MATCH(F:F,'CHIRP Payment Calc'!C:C,0))</f>
        <v>1.1300000000000001</v>
      </c>
      <c r="O328" s="141">
        <f>INDEX('CHIRP Payment Calc'!AL:AL,MATCH(F:F,'CHIRP Payment Calc'!C:C,0))</f>
        <v>1.21</v>
      </c>
      <c r="P328" s="138">
        <f t="shared" si="47"/>
        <v>15264572.593638264</v>
      </c>
      <c r="Q328" s="139">
        <f t="shared" si="48"/>
        <v>947974.06762452237</v>
      </c>
      <c r="R328" s="139">
        <f t="shared" si="49"/>
        <v>3580854.7598096873</v>
      </c>
      <c r="S328" s="139">
        <f t="shared" si="50"/>
        <v>2103556.8818676551</v>
      </c>
      <c r="T328" s="139">
        <f t="shared" si="51"/>
        <v>6330638.0606882581</v>
      </c>
      <c r="U328" s="139">
        <f t="shared" si="52"/>
        <v>4197496.9588971864</v>
      </c>
      <c r="V328" s="140">
        <f t="shared" si="53"/>
        <v>16212546.661262786</v>
      </c>
    </row>
    <row r="329" spans="4:22">
      <c r="D329" s="9" t="s">
        <v>1548</v>
      </c>
      <c r="E329" s="9" t="s">
        <v>1547</v>
      </c>
      <c r="F329" s="4" t="s">
        <v>115</v>
      </c>
      <c r="G329" s="9" t="s">
        <v>2347</v>
      </c>
      <c r="H329" s="138">
        <v>81412787.199428752</v>
      </c>
      <c r="I329" s="139">
        <v>62328477.450040936</v>
      </c>
      <c r="J329" s="139">
        <v>309681.38550032891</v>
      </c>
      <c r="K329" s="139">
        <v>235460.21290502252</v>
      </c>
      <c r="L329" s="139">
        <f t="shared" si="45"/>
        <v>81722468.584929079</v>
      </c>
      <c r="M329" s="140">
        <f t="shared" si="46"/>
        <v>62563937.662945956</v>
      </c>
      <c r="N329" s="21">
        <f>INDEX('CHIRP Payment Calc'!AM:AM,MATCH(F:F,'CHIRP Payment Calc'!C:C,0))</f>
        <v>0.31</v>
      </c>
      <c r="O329" s="141">
        <f>INDEX('CHIRP Payment Calc'!AL:AL,MATCH(F:F,'CHIRP Payment Calc'!C:C,0))</f>
        <v>1.3900000000000001</v>
      </c>
      <c r="P329" s="138">
        <f t="shared" si="47"/>
        <v>112297838.61282291</v>
      </c>
      <c r="Q329" s="139">
        <f t="shared" si="48"/>
        <v>6852256.2270293878</v>
      </c>
      <c r="R329" s="139">
        <f t="shared" si="49"/>
        <v>26777680.670369137</v>
      </c>
      <c r="S329" s="139">
        <f t="shared" si="50"/>
        <v>102128.96755861912</v>
      </c>
      <c r="T329" s="139">
        <f t="shared" si="51"/>
        <v>91922104.674330935</v>
      </c>
      <c r="U329" s="139">
        <f t="shared" si="52"/>
        <v>348180.52759359719</v>
      </c>
      <c r="V329" s="140">
        <f t="shared" si="53"/>
        <v>119150094.83985229</v>
      </c>
    </row>
    <row r="330" spans="4:22">
      <c r="D330" s="9" t="s">
        <v>1548</v>
      </c>
      <c r="E330" s="9" t="s">
        <v>2291</v>
      </c>
      <c r="F330" s="4" t="s">
        <v>74</v>
      </c>
      <c r="G330" s="9" t="s">
        <v>3001</v>
      </c>
      <c r="H330" s="138">
        <v>2341463.9038118497</v>
      </c>
      <c r="I330" s="139">
        <v>1215499.8575428997</v>
      </c>
      <c r="J330" s="139">
        <v>591868.96625498612</v>
      </c>
      <c r="K330" s="139">
        <v>1081854.6370551479</v>
      </c>
      <c r="L330" s="139">
        <f t="shared" si="45"/>
        <v>2933332.8700668355</v>
      </c>
      <c r="M330" s="140">
        <f t="shared" si="46"/>
        <v>2297354.4945980478</v>
      </c>
      <c r="N330" s="21">
        <f>INDEX('CHIRP Payment Calc'!AM:AM,MATCH(F:F,'CHIRP Payment Calc'!C:C,0))</f>
        <v>0.58000000000000007</v>
      </c>
      <c r="O330" s="141">
        <f>INDEX('CHIRP Payment Calc'!AL:AL,MATCH(F:F,'CHIRP Payment Calc'!C:C,0))</f>
        <v>0.17</v>
      </c>
      <c r="P330" s="138">
        <f t="shared" si="47"/>
        <v>2091883.3287204329</v>
      </c>
      <c r="Q330" s="139">
        <f t="shared" si="48"/>
        <v>129109.19593561442</v>
      </c>
      <c r="R330" s="139">
        <f t="shared" si="49"/>
        <v>1440900.8638842155</v>
      </c>
      <c r="S330" s="139">
        <f t="shared" si="50"/>
        <v>365195.74513605534</v>
      </c>
      <c r="T330" s="139">
        <f t="shared" si="51"/>
        <v>219241.35361516493</v>
      </c>
      <c r="U330" s="139">
        <f t="shared" si="52"/>
        <v>195654.56202061189</v>
      </c>
      <c r="V330" s="140">
        <f t="shared" si="53"/>
        <v>2220992.5246560476</v>
      </c>
    </row>
    <row r="331" spans="4:22">
      <c r="D331" s="9" t="s">
        <v>1548</v>
      </c>
      <c r="E331" s="9" t="s">
        <v>2291</v>
      </c>
      <c r="F331" s="4" t="s">
        <v>609</v>
      </c>
      <c r="G331" s="9" t="s">
        <v>3002</v>
      </c>
      <c r="H331" s="138">
        <v>1644157.0736328142</v>
      </c>
      <c r="I331" s="139">
        <v>2534458.1284200312</v>
      </c>
      <c r="J331" s="139">
        <v>411552.19948794763</v>
      </c>
      <c r="K331" s="139">
        <v>694824.29804504348</v>
      </c>
      <c r="L331" s="139">
        <f t="shared" si="45"/>
        <v>2055709.2731207618</v>
      </c>
      <c r="M331" s="140">
        <f t="shared" si="46"/>
        <v>3229282.4264650745</v>
      </c>
      <c r="N331" s="21">
        <f>INDEX('CHIRP Payment Calc'!AM:AM,MATCH(F:F,'CHIRP Payment Calc'!C:C,0))</f>
        <v>0.6</v>
      </c>
      <c r="O331" s="141">
        <f>INDEX('CHIRP Payment Calc'!AL:AL,MATCH(F:F,'CHIRP Payment Calc'!C:C,0))</f>
        <v>0.17</v>
      </c>
      <c r="P331" s="138">
        <f t="shared" si="47"/>
        <v>1782403.5763715198</v>
      </c>
      <c r="Q331" s="139">
        <f t="shared" si="48"/>
        <v>109770.91475679408</v>
      </c>
      <c r="R331" s="139">
        <f t="shared" si="49"/>
        <v>1046678.2431614732</v>
      </c>
      <c r="S331" s="139">
        <f t="shared" si="50"/>
        <v>262692.89329017937</v>
      </c>
      <c r="T331" s="139">
        <f t="shared" si="51"/>
        <v>457143.64120043005</v>
      </c>
      <c r="U331" s="139">
        <f t="shared" si="52"/>
        <v>125659.71347623129</v>
      </c>
      <c r="V331" s="140">
        <f t="shared" si="53"/>
        <v>1892174.4911283138</v>
      </c>
    </row>
    <row r="332" spans="4:22">
      <c r="D332" s="9" t="s">
        <v>1548</v>
      </c>
      <c r="E332" s="9" t="s">
        <v>2291</v>
      </c>
      <c r="F332" s="4" t="s">
        <v>603</v>
      </c>
      <c r="G332" s="9" t="s">
        <v>1860</v>
      </c>
      <c r="H332" s="138">
        <v>2076392.2746420312</v>
      </c>
      <c r="I332" s="139">
        <v>2341307.5792771638</v>
      </c>
      <c r="J332" s="139">
        <v>386450.83231691626</v>
      </c>
      <c r="K332" s="139">
        <v>622195.45101282385</v>
      </c>
      <c r="L332" s="139">
        <f t="shared" si="45"/>
        <v>2462843.1069589476</v>
      </c>
      <c r="M332" s="140">
        <f t="shared" si="46"/>
        <v>2963503.0302899876</v>
      </c>
      <c r="N332" s="21">
        <f>INDEX('CHIRP Payment Calc'!AM:AM,MATCH(F:F,'CHIRP Payment Calc'!C:C,0))</f>
        <v>0.47000000000000003</v>
      </c>
      <c r="O332" s="141">
        <f>INDEX('CHIRP Payment Calc'!AL:AL,MATCH(F:F,'CHIRP Payment Calc'!C:C,0))</f>
        <v>0.17</v>
      </c>
      <c r="P332" s="138">
        <f t="shared" si="47"/>
        <v>1661331.7754200033</v>
      </c>
      <c r="Q332" s="139">
        <f t="shared" si="48"/>
        <v>102165.46673751793</v>
      </c>
      <c r="R332" s="139">
        <f t="shared" si="49"/>
        <v>1035442.3014130024</v>
      </c>
      <c r="S332" s="139">
        <f t="shared" si="50"/>
        <v>193225.41615845816</v>
      </c>
      <c r="T332" s="139">
        <f t="shared" si="51"/>
        <v>422304.81536033726</v>
      </c>
      <c r="U332" s="139">
        <f t="shared" si="52"/>
        <v>112524.70922572348</v>
      </c>
      <c r="V332" s="140">
        <f t="shared" si="53"/>
        <v>1763497.2421575214</v>
      </c>
    </row>
    <row r="333" spans="4:22">
      <c r="D333" s="9" t="s">
        <v>1548</v>
      </c>
      <c r="E333" s="9" t="s">
        <v>2291</v>
      </c>
      <c r="F333" s="4" t="s">
        <v>851</v>
      </c>
      <c r="G333" s="9" t="s">
        <v>2334</v>
      </c>
      <c r="H333" s="138">
        <v>696087.07336229843</v>
      </c>
      <c r="I333" s="139">
        <v>849066.81231853494</v>
      </c>
      <c r="J333" s="139">
        <v>265039.69109087781</v>
      </c>
      <c r="K333" s="139">
        <v>202475.67780368266</v>
      </c>
      <c r="L333" s="139">
        <f t="shared" si="45"/>
        <v>961126.76445317618</v>
      </c>
      <c r="M333" s="140">
        <f t="shared" si="46"/>
        <v>1051542.4901222177</v>
      </c>
      <c r="N333" s="21">
        <f>INDEX('CHIRP Payment Calc'!AM:AM,MATCH(F:F,'CHIRP Payment Calc'!C:C,0))</f>
        <v>0.2</v>
      </c>
      <c r="O333" s="141">
        <f>INDEX('CHIRP Payment Calc'!AL:AL,MATCH(F:F,'CHIRP Payment Calc'!C:C,0))</f>
        <v>0.17</v>
      </c>
      <c r="P333" s="138">
        <f t="shared" si="47"/>
        <v>370987.57621141232</v>
      </c>
      <c r="Q333" s="139">
        <f t="shared" si="48"/>
        <v>22879.903496629428</v>
      </c>
      <c r="R333" s="139">
        <f t="shared" si="49"/>
        <v>147710.78479836573</v>
      </c>
      <c r="S333" s="139">
        <f t="shared" si="50"/>
        <v>56391.423636356987</v>
      </c>
      <c r="T333" s="139">
        <f t="shared" si="51"/>
        <v>153147.32954286574</v>
      </c>
      <c r="U333" s="139">
        <f t="shared" si="52"/>
        <v>36617.941730453254</v>
      </c>
      <c r="V333" s="140">
        <f t="shared" si="53"/>
        <v>393867.47970804176</v>
      </c>
    </row>
    <row r="334" spans="4:22">
      <c r="D334" s="9" t="s">
        <v>1548</v>
      </c>
      <c r="E334" s="9" t="s">
        <v>2291</v>
      </c>
      <c r="F334" s="4" t="s">
        <v>196</v>
      </c>
      <c r="G334" s="9" t="s">
        <v>2897</v>
      </c>
      <c r="H334" s="138">
        <v>653542.12465894665</v>
      </c>
      <c r="I334" s="139">
        <v>24693.080033625636</v>
      </c>
      <c r="J334" s="139">
        <v>189050.18212726485</v>
      </c>
      <c r="K334" s="139">
        <v>18585.81561143832</v>
      </c>
      <c r="L334" s="139">
        <f t="shared" si="45"/>
        <v>842592.30678621144</v>
      </c>
      <c r="M334" s="140">
        <f t="shared" si="46"/>
        <v>43278.895645063953</v>
      </c>
      <c r="N334" s="21">
        <f>INDEX('CHIRP Payment Calc'!AM:AM,MATCH(F:F,'CHIRP Payment Calc'!C:C,0))</f>
        <v>0.16</v>
      </c>
      <c r="O334" s="141">
        <f>INDEX('CHIRP Payment Calc'!AL:AL,MATCH(F:F,'CHIRP Payment Calc'!C:C,0))</f>
        <v>0.17</v>
      </c>
      <c r="P334" s="138">
        <f t="shared" si="47"/>
        <v>142172.18134545471</v>
      </c>
      <c r="Q334" s="139">
        <f t="shared" si="48"/>
        <v>8767.9050129325515</v>
      </c>
      <c r="R334" s="139">
        <f t="shared" si="49"/>
        <v>110946.14317817662</v>
      </c>
      <c r="S334" s="139">
        <f t="shared" si="50"/>
        <v>32178.754404640826</v>
      </c>
      <c r="T334" s="139">
        <f t="shared" si="51"/>
        <v>4453.9242500969322</v>
      </c>
      <c r="U334" s="139">
        <f t="shared" si="52"/>
        <v>3361.2645254728882</v>
      </c>
      <c r="V334" s="140">
        <f t="shared" si="53"/>
        <v>150940.08635838726</v>
      </c>
    </row>
    <row r="335" spans="4:22">
      <c r="D335" s="9" t="s">
        <v>1548</v>
      </c>
      <c r="E335" s="9" t="s">
        <v>2291</v>
      </c>
      <c r="F335" s="4" t="s">
        <v>990</v>
      </c>
      <c r="G335" s="9" t="s">
        <v>2643</v>
      </c>
      <c r="H335" s="138">
        <v>313614.98860880127</v>
      </c>
      <c r="I335" s="139">
        <v>71628.284940805301</v>
      </c>
      <c r="J335" s="139">
        <v>210492.96866164857</v>
      </c>
      <c r="K335" s="139">
        <v>6528.0218178890782</v>
      </c>
      <c r="L335" s="139">
        <f t="shared" si="45"/>
        <v>524107.95727044984</v>
      </c>
      <c r="M335" s="140">
        <f t="shared" si="46"/>
        <v>78156.30675869438</v>
      </c>
      <c r="N335" s="21">
        <f>INDEX('CHIRP Payment Calc'!AM:AM,MATCH(F:F,'CHIRP Payment Calc'!C:C,0))</f>
        <v>0.13</v>
      </c>
      <c r="O335" s="141">
        <f>INDEX('CHIRP Payment Calc'!AL:AL,MATCH(F:F,'CHIRP Payment Calc'!C:C,0))</f>
        <v>0.17</v>
      </c>
      <c r="P335" s="138">
        <f t="shared" si="47"/>
        <v>81420.606594136523</v>
      </c>
      <c r="Q335" s="139">
        <f t="shared" si="48"/>
        <v>5047.6532654221101</v>
      </c>
      <c r="R335" s="139">
        <f t="shared" si="49"/>
        <v>43257.23980811052</v>
      </c>
      <c r="S335" s="139">
        <f t="shared" si="50"/>
        <v>29110.729708525869</v>
      </c>
      <c r="T335" s="139">
        <f t="shared" si="51"/>
        <v>12919.690652452946</v>
      </c>
      <c r="U335" s="139">
        <f t="shared" si="52"/>
        <v>1180.5996904693015</v>
      </c>
      <c r="V335" s="140">
        <f t="shared" si="53"/>
        <v>86468.259859558646</v>
      </c>
    </row>
    <row r="336" spans="4:22">
      <c r="D336" s="9" t="s">
        <v>1548</v>
      </c>
      <c r="E336" s="9" t="s">
        <v>2279</v>
      </c>
      <c r="F336" s="4" t="s">
        <v>612</v>
      </c>
      <c r="G336" s="9" t="s">
        <v>2573</v>
      </c>
      <c r="H336" s="138">
        <v>1359104.0204131713</v>
      </c>
      <c r="I336" s="139">
        <v>2190266.7051908039</v>
      </c>
      <c r="J336" s="139">
        <v>1431087.5903797967</v>
      </c>
      <c r="K336" s="139">
        <v>884383.92721927259</v>
      </c>
      <c r="L336" s="139">
        <f t="shared" si="45"/>
        <v>2790191.610792968</v>
      </c>
      <c r="M336" s="140">
        <f t="shared" si="46"/>
        <v>3074650.6324100764</v>
      </c>
      <c r="N336" s="21">
        <f>INDEX('CHIRP Payment Calc'!AM:AM,MATCH(F:F,'CHIRP Payment Calc'!C:C,0))</f>
        <v>0.81</v>
      </c>
      <c r="O336" s="141">
        <f>INDEX('CHIRP Payment Calc'!AL:AL,MATCH(F:F,'CHIRP Payment Calc'!C:C,0))</f>
        <v>0.69</v>
      </c>
      <c r="P336" s="138">
        <f t="shared" si="47"/>
        <v>4381564.141105257</v>
      </c>
      <c r="Q336" s="139">
        <f t="shared" si="48"/>
        <v>272303.24112163385</v>
      </c>
      <c r="R336" s="139">
        <f t="shared" si="49"/>
        <v>1168036.3464558821</v>
      </c>
      <c r="S336" s="139">
        <f t="shared" si="50"/>
        <v>1233171.2214974845</v>
      </c>
      <c r="T336" s="139">
        <f t="shared" si="51"/>
        <v>1603484.378335973</v>
      </c>
      <c r="U336" s="139">
        <f t="shared" si="52"/>
        <v>649175.4359375512</v>
      </c>
      <c r="V336" s="140">
        <f t="shared" si="53"/>
        <v>4653867.3822268909</v>
      </c>
    </row>
    <row r="337" spans="4:22">
      <c r="D337" s="9" t="s">
        <v>1548</v>
      </c>
      <c r="E337" s="9" t="s">
        <v>2279</v>
      </c>
      <c r="F337" s="4" t="s">
        <v>507</v>
      </c>
      <c r="G337" s="9" t="s">
        <v>2348</v>
      </c>
      <c r="H337" s="138">
        <v>4002761.7251198799</v>
      </c>
      <c r="I337" s="139">
        <v>26585813.797301173</v>
      </c>
      <c r="J337" s="139">
        <v>2297127.5546998498</v>
      </c>
      <c r="K337" s="139">
        <v>6361756.9727852074</v>
      </c>
      <c r="L337" s="139">
        <f t="shared" si="45"/>
        <v>6299889.2798197297</v>
      </c>
      <c r="M337" s="140">
        <f t="shared" si="46"/>
        <v>32947570.770086382</v>
      </c>
      <c r="N337" s="21">
        <f>INDEX('CHIRP Payment Calc'!AM:AM,MATCH(F:F,'CHIRP Payment Calc'!C:C,0))</f>
        <v>0.91</v>
      </c>
      <c r="O337" s="141">
        <f>INDEX('CHIRP Payment Calc'!AL:AL,MATCH(F:F,'CHIRP Payment Calc'!C:C,0))</f>
        <v>0.90999999999999992</v>
      </c>
      <c r="P337" s="138">
        <f t="shared" si="47"/>
        <v>35715188.645414561</v>
      </c>
      <c r="Q337" s="139">
        <f t="shared" si="48"/>
        <v>2201145.5596644115</v>
      </c>
      <c r="R337" s="139">
        <f t="shared" si="49"/>
        <v>3864735.458736436</v>
      </c>
      <c r="S337" s="139">
        <f t="shared" si="50"/>
        <v>2223814.973166876</v>
      </c>
      <c r="T337" s="139">
        <f t="shared" si="51"/>
        <v>25669061.597394232</v>
      </c>
      <c r="U337" s="139">
        <f t="shared" si="52"/>
        <v>6158722.1757814242</v>
      </c>
      <c r="V337" s="140">
        <f t="shared" si="53"/>
        <v>37916334.205078967</v>
      </c>
    </row>
    <row r="338" spans="4:22">
      <c r="D338" s="9" t="s">
        <v>1548</v>
      </c>
      <c r="E338" s="9" t="s">
        <v>2279</v>
      </c>
      <c r="F338" s="4" t="s">
        <v>1711</v>
      </c>
      <c r="G338" s="9" t="s">
        <v>3003</v>
      </c>
      <c r="H338" s="138">
        <v>4855222.2899263678</v>
      </c>
      <c r="I338" s="139">
        <v>12894996.821531039</v>
      </c>
      <c r="J338" s="139">
        <v>5747391.7981245322</v>
      </c>
      <c r="K338" s="139">
        <v>10808673.511681817</v>
      </c>
      <c r="L338" s="139">
        <f t="shared" si="45"/>
        <v>10602614.0880509</v>
      </c>
      <c r="M338" s="140">
        <f t="shared" si="46"/>
        <v>23703670.333212856</v>
      </c>
      <c r="N338" s="21">
        <f>INDEX('CHIRP Payment Calc'!AM:AM,MATCH(F:F,'CHIRP Payment Calc'!C:C,0))</f>
        <v>0.82000000000000006</v>
      </c>
      <c r="O338" s="141">
        <f>INDEX('CHIRP Payment Calc'!AL:AL,MATCH(F:F,'CHIRP Payment Calc'!C:C,0))</f>
        <v>0.57000000000000006</v>
      </c>
      <c r="P338" s="138">
        <f t="shared" si="47"/>
        <v>22205235.642133068</v>
      </c>
      <c r="Q338" s="139">
        <f t="shared" si="48"/>
        <v>1385380.0997771819</v>
      </c>
      <c r="R338" s="139">
        <f t="shared" si="49"/>
        <v>4224172.1779730739</v>
      </c>
      <c r="S338" s="139">
        <f t="shared" si="50"/>
        <v>5013682.2068745922</v>
      </c>
      <c r="T338" s="139">
        <f t="shared" si="51"/>
        <v>7798565.7170002051</v>
      </c>
      <c r="U338" s="139">
        <f t="shared" si="52"/>
        <v>6554195.6400623797</v>
      </c>
      <c r="V338" s="140">
        <f t="shared" si="53"/>
        <v>23590615.741910253</v>
      </c>
    </row>
    <row r="339" spans="4:22">
      <c r="D339" s="9" t="s">
        <v>1548</v>
      </c>
      <c r="E339" s="9" t="s">
        <v>2279</v>
      </c>
      <c r="F339" s="4" t="s">
        <v>1697</v>
      </c>
      <c r="G339" s="9" t="s">
        <v>2441</v>
      </c>
      <c r="H339" s="138">
        <v>2742734.2068655328</v>
      </c>
      <c r="I339" s="139">
        <v>5453878.2772131404</v>
      </c>
      <c r="J339" s="139">
        <v>1166174.8488341989</v>
      </c>
      <c r="K339" s="139">
        <v>1620169.5413223496</v>
      </c>
      <c r="L339" s="139">
        <f t="shared" si="45"/>
        <v>3908909.0556997317</v>
      </c>
      <c r="M339" s="140">
        <f t="shared" si="46"/>
        <v>7074047.81853549</v>
      </c>
      <c r="N339" s="21">
        <f>INDEX('CHIRP Payment Calc'!AM:AM,MATCH(F:F,'CHIRP Payment Calc'!C:C,0))</f>
        <v>1.28</v>
      </c>
      <c r="O339" s="141">
        <f>INDEX('CHIRP Payment Calc'!AL:AL,MATCH(F:F,'CHIRP Payment Calc'!C:C,0))</f>
        <v>1.29</v>
      </c>
      <c r="P339" s="138">
        <f t="shared" si="47"/>
        <v>14128925.27720644</v>
      </c>
      <c r="Q339" s="139">
        <f t="shared" si="48"/>
        <v>872086.70638302632</v>
      </c>
      <c r="R339" s="139">
        <f t="shared" si="49"/>
        <v>3724880.4082630053</v>
      </c>
      <c r="S339" s="139">
        <f t="shared" si="50"/>
        <v>1587982.7728806115</v>
      </c>
      <c r="T339" s="139">
        <f t="shared" si="51"/>
        <v>7464724.6446736883</v>
      </c>
      <c r="U339" s="139">
        <f t="shared" si="52"/>
        <v>2223424.1577721606</v>
      </c>
      <c r="V339" s="140">
        <f t="shared" si="53"/>
        <v>15001011.983589467</v>
      </c>
    </row>
    <row r="340" spans="4:22">
      <c r="D340" s="9" t="s">
        <v>1365</v>
      </c>
      <c r="E340" s="9" t="s">
        <v>1547</v>
      </c>
      <c r="F340" s="4" t="s">
        <v>86</v>
      </c>
      <c r="G340" s="9" t="s">
        <v>2440</v>
      </c>
      <c r="H340" s="138">
        <v>100373825.74069588</v>
      </c>
      <c r="I340" s="139">
        <v>137015453.10036355</v>
      </c>
      <c r="J340" s="139">
        <v>332894.25908263231</v>
      </c>
      <c r="K340" s="139">
        <v>303561.48642983742</v>
      </c>
      <c r="L340" s="139">
        <f t="shared" si="45"/>
        <v>100706719.99977851</v>
      </c>
      <c r="M340" s="140">
        <f t="shared" si="46"/>
        <v>137319014.58679339</v>
      </c>
      <c r="N340" s="21">
        <f>INDEX('CHIRP Payment Calc'!AM:AM,MATCH(F:F,'CHIRP Payment Calc'!C:C,0))</f>
        <v>0.55000000000000004</v>
      </c>
      <c r="O340" s="141">
        <f>INDEX('CHIRP Payment Calc'!AL:AL,MATCH(F:F,'CHIRP Payment Calc'!C:C,0))</f>
        <v>1.3900000000000001</v>
      </c>
      <c r="P340" s="138">
        <f t="shared" si="47"/>
        <v>246262126.27552104</v>
      </c>
      <c r="Q340" s="139">
        <f t="shared" si="48"/>
        <v>15025656.674714705</v>
      </c>
      <c r="R340" s="139">
        <f t="shared" si="49"/>
        <v>58573585.312872931</v>
      </c>
      <c r="S340" s="139">
        <f t="shared" si="50"/>
        <v>194778.55584622105</v>
      </c>
      <c r="T340" s="139">
        <f t="shared" si="51"/>
        <v>202070535.60690221</v>
      </c>
      <c r="U340" s="139">
        <f t="shared" si="52"/>
        <v>448883.47461433412</v>
      </c>
      <c r="V340" s="140">
        <f t="shared" si="53"/>
        <v>261287782.95023569</v>
      </c>
    </row>
    <row r="341" spans="4:22">
      <c r="D341" s="9" t="s">
        <v>1365</v>
      </c>
      <c r="E341" s="9" t="s">
        <v>2529</v>
      </c>
      <c r="F341" s="4" t="s">
        <v>1275</v>
      </c>
      <c r="G341" s="9" t="s">
        <v>2830</v>
      </c>
      <c r="H341" s="138">
        <v>0</v>
      </c>
      <c r="I341" s="139">
        <v>3991742.687376603</v>
      </c>
      <c r="J341" s="139">
        <v>0</v>
      </c>
      <c r="K341" s="139">
        <v>0</v>
      </c>
      <c r="L341" s="139">
        <f t="shared" si="45"/>
        <v>0</v>
      </c>
      <c r="M341" s="140">
        <f t="shared" si="46"/>
        <v>3991742.687376603</v>
      </c>
      <c r="N341" s="21">
        <f>INDEX('CHIRP Payment Calc'!AM:AM,MATCH(F:F,'CHIRP Payment Calc'!C:C,0))</f>
        <v>0</v>
      </c>
      <c r="O341" s="141">
        <f>INDEX('CHIRP Payment Calc'!AL:AL,MATCH(F:F,'CHIRP Payment Calc'!C:C,0))</f>
        <v>0.21</v>
      </c>
      <c r="P341" s="138">
        <f t="shared" si="47"/>
        <v>838265.96434908663</v>
      </c>
      <c r="Q341" s="139">
        <f t="shared" si="48"/>
        <v>51140.89437673473</v>
      </c>
      <c r="R341" s="139">
        <f t="shared" si="49"/>
        <v>0</v>
      </c>
      <c r="S341" s="139">
        <f t="shared" si="50"/>
        <v>0</v>
      </c>
      <c r="T341" s="139">
        <f t="shared" si="51"/>
        <v>889406.85872582137</v>
      </c>
      <c r="U341" s="139">
        <f t="shared" si="52"/>
        <v>0</v>
      </c>
      <c r="V341" s="140">
        <f t="shared" si="53"/>
        <v>889406.85872582137</v>
      </c>
    </row>
    <row r="342" spans="4:22">
      <c r="D342" s="9" t="s">
        <v>1365</v>
      </c>
      <c r="E342" s="9" t="s">
        <v>2529</v>
      </c>
      <c r="F342" s="4" t="s">
        <v>1272</v>
      </c>
      <c r="G342" s="9" t="s">
        <v>2719</v>
      </c>
      <c r="H342" s="138">
        <v>0</v>
      </c>
      <c r="I342" s="139">
        <v>2286688.4973313375</v>
      </c>
      <c r="J342" s="139">
        <v>0</v>
      </c>
      <c r="K342" s="139">
        <v>0</v>
      </c>
      <c r="L342" s="139">
        <f t="shared" si="45"/>
        <v>0</v>
      </c>
      <c r="M342" s="140">
        <f t="shared" si="46"/>
        <v>2286688.4973313375</v>
      </c>
      <c r="N342" s="21">
        <f>INDEX('CHIRP Payment Calc'!AM:AM,MATCH(F:F,'CHIRP Payment Calc'!C:C,0))</f>
        <v>0</v>
      </c>
      <c r="O342" s="141">
        <f>INDEX('CHIRP Payment Calc'!AL:AL,MATCH(F:F,'CHIRP Payment Calc'!C:C,0))</f>
        <v>0.21</v>
      </c>
      <c r="P342" s="138">
        <f t="shared" si="47"/>
        <v>480204.58443958085</v>
      </c>
      <c r="Q342" s="139">
        <f t="shared" si="48"/>
        <v>29296.300907454537</v>
      </c>
      <c r="R342" s="139">
        <f t="shared" si="49"/>
        <v>0</v>
      </c>
      <c r="S342" s="139">
        <f t="shared" si="50"/>
        <v>0</v>
      </c>
      <c r="T342" s="139">
        <f t="shared" si="51"/>
        <v>509500.88534703542</v>
      </c>
      <c r="U342" s="139">
        <f t="shared" si="52"/>
        <v>0</v>
      </c>
      <c r="V342" s="140">
        <f t="shared" si="53"/>
        <v>509500.88534703542</v>
      </c>
    </row>
    <row r="343" spans="4:22">
      <c r="D343" s="9" t="s">
        <v>1365</v>
      </c>
      <c r="E343" s="9" t="s">
        <v>2529</v>
      </c>
      <c r="F343" s="4" t="s">
        <v>1254</v>
      </c>
      <c r="G343" s="9" t="s">
        <v>2869</v>
      </c>
      <c r="H343" s="138">
        <v>0</v>
      </c>
      <c r="I343" s="139">
        <v>219324.70019686164</v>
      </c>
      <c r="J343" s="139">
        <v>0</v>
      </c>
      <c r="K343" s="139">
        <v>0</v>
      </c>
      <c r="L343" s="139">
        <f t="shared" si="45"/>
        <v>0</v>
      </c>
      <c r="M343" s="140">
        <f t="shared" si="46"/>
        <v>219324.70019686164</v>
      </c>
      <c r="N343" s="21">
        <f>INDEX('CHIRP Payment Calc'!AM:AM,MATCH(F:F,'CHIRP Payment Calc'!C:C,0))</f>
        <v>0</v>
      </c>
      <c r="O343" s="141">
        <f>INDEX('CHIRP Payment Calc'!AL:AL,MATCH(F:F,'CHIRP Payment Calc'!C:C,0))</f>
        <v>0.21</v>
      </c>
      <c r="P343" s="138">
        <f t="shared" si="47"/>
        <v>46058.187041340942</v>
      </c>
      <c r="Q343" s="139">
        <f t="shared" si="48"/>
        <v>2809.9159202940095</v>
      </c>
      <c r="R343" s="139">
        <f t="shared" si="49"/>
        <v>0</v>
      </c>
      <c r="S343" s="139">
        <f t="shared" si="50"/>
        <v>0</v>
      </c>
      <c r="T343" s="139">
        <f t="shared" si="51"/>
        <v>48868.102961634948</v>
      </c>
      <c r="U343" s="139">
        <f t="shared" si="52"/>
        <v>0</v>
      </c>
      <c r="V343" s="140">
        <f t="shared" si="53"/>
        <v>48868.102961634948</v>
      </c>
    </row>
    <row r="344" spans="4:22">
      <c r="D344" s="9" t="s">
        <v>1365</v>
      </c>
      <c r="E344" s="9" t="s">
        <v>2529</v>
      </c>
      <c r="F344" s="4" t="s">
        <v>1346</v>
      </c>
      <c r="G344" s="9" t="s">
        <v>2834</v>
      </c>
      <c r="H344" s="138">
        <v>0</v>
      </c>
      <c r="I344" s="139">
        <v>1592580.4316981903</v>
      </c>
      <c r="J344" s="139">
        <v>0</v>
      </c>
      <c r="K344" s="139">
        <v>0</v>
      </c>
      <c r="L344" s="139">
        <f t="shared" si="45"/>
        <v>0</v>
      </c>
      <c r="M344" s="140">
        <f t="shared" si="46"/>
        <v>1592580.4316981903</v>
      </c>
      <c r="N344" s="21">
        <f>INDEX('CHIRP Payment Calc'!AM:AM,MATCH(F:F,'CHIRP Payment Calc'!C:C,0))</f>
        <v>0</v>
      </c>
      <c r="O344" s="141">
        <f>INDEX('CHIRP Payment Calc'!AL:AL,MATCH(F:F,'CHIRP Payment Calc'!C:C,0))</f>
        <v>0.21</v>
      </c>
      <c r="P344" s="138">
        <f t="shared" si="47"/>
        <v>334441.89065661997</v>
      </c>
      <c r="Q344" s="139">
        <f t="shared" si="48"/>
        <v>20403.616671358774</v>
      </c>
      <c r="R344" s="139">
        <f t="shared" si="49"/>
        <v>0</v>
      </c>
      <c r="S344" s="139">
        <f t="shared" si="50"/>
        <v>0</v>
      </c>
      <c r="T344" s="139">
        <f t="shared" si="51"/>
        <v>354845.50732797867</v>
      </c>
      <c r="U344" s="139">
        <f t="shared" si="52"/>
        <v>0</v>
      </c>
      <c r="V344" s="140">
        <f t="shared" si="53"/>
        <v>354845.50732797867</v>
      </c>
    </row>
    <row r="345" spans="4:22">
      <c r="D345" s="9" t="s">
        <v>1365</v>
      </c>
      <c r="E345" s="9" t="s">
        <v>2291</v>
      </c>
      <c r="F345" s="4" t="s">
        <v>781</v>
      </c>
      <c r="G345" s="9" t="s">
        <v>2436</v>
      </c>
      <c r="H345" s="138">
        <v>1632957.9690121033</v>
      </c>
      <c r="I345" s="139">
        <v>2657004.5979121197</v>
      </c>
      <c r="J345" s="139">
        <v>488314.38777660986</v>
      </c>
      <c r="K345" s="139">
        <v>1105720.2743599752</v>
      </c>
      <c r="L345" s="139">
        <f t="shared" si="45"/>
        <v>2121272.356788713</v>
      </c>
      <c r="M345" s="140">
        <f t="shared" si="46"/>
        <v>3762724.8722720947</v>
      </c>
      <c r="N345" s="21">
        <f>INDEX('CHIRP Payment Calc'!AM:AM,MATCH(F:F,'CHIRP Payment Calc'!C:C,0))</f>
        <v>1.8599999999999999</v>
      </c>
      <c r="O345" s="141">
        <f>INDEX('CHIRP Payment Calc'!AL:AL,MATCH(F:F,'CHIRP Payment Calc'!C:C,0))</f>
        <v>1.18</v>
      </c>
      <c r="P345" s="138">
        <f t="shared" si="47"/>
        <v>8385581.9329080777</v>
      </c>
      <c r="Q345" s="139">
        <f t="shared" si="48"/>
        <v>517831.97718404513</v>
      </c>
      <c r="R345" s="139">
        <f t="shared" si="49"/>
        <v>3222601.4030371481</v>
      </c>
      <c r="S345" s="139">
        <f t="shared" si="50"/>
        <v>966239.10772818548</v>
      </c>
      <c r="T345" s="139">
        <f t="shared" si="51"/>
        <v>3326541.5655557569</v>
      </c>
      <c r="U345" s="139">
        <f t="shared" si="52"/>
        <v>1388031.833771033</v>
      </c>
      <c r="V345" s="140">
        <f t="shared" si="53"/>
        <v>8903413.9100921229</v>
      </c>
    </row>
    <row r="346" spans="4:22">
      <c r="D346" s="9" t="s">
        <v>1365</v>
      </c>
      <c r="E346" s="9" t="s">
        <v>2291</v>
      </c>
      <c r="F346" s="4" t="s">
        <v>1079</v>
      </c>
      <c r="G346" s="9" t="s">
        <v>2780</v>
      </c>
      <c r="H346" s="138">
        <v>1893346.6178104687</v>
      </c>
      <c r="I346" s="139">
        <v>4267128.751614308</v>
      </c>
      <c r="J346" s="139">
        <v>1025385.8380595292</v>
      </c>
      <c r="K346" s="139">
        <v>2274596.9258823078</v>
      </c>
      <c r="L346" s="139">
        <f t="shared" si="45"/>
        <v>2918732.4558699979</v>
      </c>
      <c r="M346" s="140">
        <f t="shared" si="46"/>
        <v>6541725.6774966158</v>
      </c>
      <c r="N346" s="21">
        <f>INDEX('CHIRP Payment Calc'!AM:AM,MATCH(F:F,'CHIRP Payment Calc'!C:C,0))</f>
        <v>1.38</v>
      </c>
      <c r="O346" s="141">
        <f>INDEX('CHIRP Payment Calc'!AL:AL,MATCH(F:F,'CHIRP Payment Calc'!C:C,0))</f>
        <v>0.21</v>
      </c>
      <c r="P346" s="138">
        <f t="shared" si="47"/>
        <v>5401613.1813748861</v>
      </c>
      <c r="Q346" s="139">
        <f t="shared" si="48"/>
        <v>334882.25857069384</v>
      </c>
      <c r="R346" s="139">
        <f t="shared" si="49"/>
        <v>2772221.0425235508</v>
      </c>
      <c r="S346" s="139">
        <f t="shared" si="50"/>
        <v>1505353.6771512239</v>
      </c>
      <c r="T346" s="139">
        <f t="shared" si="51"/>
        <v>950766.08789284318</v>
      </c>
      <c r="U346" s="139">
        <f t="shared" si="52"/>
        <v>508154.63237796235</v>
      </c>
      <c r="V346" s="140">
        <f t="shared" si="53"/>
        <v>5736495.4399455804</v>
      </c>
    </row>
    <row r="347" spans="4:22">
      <c r="D347" s="9" t="s">
        <v>1365</v>
      </c>
      <c r="E347" s="9" t="s">
        <v>2279</v>
      </c>
      <c r="F347" s="4" t="s">
        <v>1117</v>
      </c>
      <c r="G347" s="9" t="s">
        <v>2617</v>
      </c>
      <c r="H347" s="138">
        <v>2041569.034592438</v>
      </c>
      <c r="I347" s="139">
        <v>4982412.5519226585</v>
      </c>
      <c r="J347" s="139">
        <v>946672.46068599971</v>
      </c>
      <c r="K347" s="139">
        <v>1811005.7683582818</v>
      </c>
      <c r="L347" s="139">
        <f t="shared" si="45"/>
        <v>2988241.4952784376</v>
      </c>
      <c r="M347" s="140">
        <f t="shared" si="46"/>
        <v>6793418.3202809403</v>
      </c>
      <c r="N347" s="21">
        <f>INDEX('CHIRP Payment Calc'!AM:AM,MATCH(F:F,'CHIRP Payment Calc'!C:C,0))</f>
        <v>0.81</v>
      </c>
      <c r="O347" s="141">
        <f>INDEX('CHIRP Payment Calc'!AL:AL,MATCH(F:F,'CHIRP Payment Calc'!C:C,0))</f>
        <v>1.92</v>
      </c>
      <c r="P347" s="138">
        <f t="shared" si="47"/>
        <v>15463838.78611494</v>
      </c>
      <c r="Q347" s="139">
        <f t="shared" si="48"/>
        <v>955392.88426042255</v>
      </c>
      <c r="R347" s="139">
        <f t="shared" si="49"/>
        <v>1754558.0032041112</v>
      </c>
      <c r="S347" s="139">
        <f t="shared" si="50"/>
        <v>815749.67356985097</v>
      </c>
      <c r="T347" s="139">
        <f t="shared" si="51"/>
        <v>10149848.381635547</v>
      </c>
      <c r="U347" s="139">
        <f t="shared" si="52"/>
        <v>3699075.6119658523</v>
      </c>
      <c r="V347" s="140">
        <f t="shared" si="53"/>
        <v>16419231.67037536</v>
      </c>
    </row>
    <row r="348" spans="4:22">
      <c r="D348" s="9" t="s">
        <v>1365</v>
      </c>
      <c r="E348" s="9" t="s">
        <v>2279</v>
      </c>
      <c r="F348" s="4" t="s">
        <v>1111</v>
      </c>
      <c r="G348" s="9" t="s">
        <v>2588</v>
      </c>
      <c r="H348" s="138">
        <v>3606806.3201766009</v>
      </c>
      <c r="I348" s="139">
        <v>3972144.7926120837</v>
      </c>
      <c r="J348" s="139">
        <v>2660138.5168393184</v>
      </c>
      <c r="K348" s="139">
        <v>3259799.6790985796</v>
      </c>
      <c r="L348" s="139">
        <f t="shared" si="45"/>
        <v>6266944.8370159194</v>
      </c>
      <c r="M348" s="140">
        <f t="shared" si="46"/>
        <v>7231944.4717106633</v>
      </c>
      <c r="N348" s="21">
        <f>INDEX('CHIRP Payment Calc'!AM:AM,MATCH(F:F,'CHIRP Payment Calc'!C:C,0))</f>
        <v>0.49</v>
      </c>
      <c r="O348" s="141">
        <f>INDEX('CHIRP Payment Calc'!AL:AL,MATCH(F:F,'CHIRP Payment Calc'!C:C,0))</f>
        <v>1.84</v>
      </c>
      <c r="P348" s="138">
        <f t="shared" si="47"/>
        <v>16377580.798085421</v>
      </c>
      <c r="Q348" s="139">
        <f t="shared" si="48"/>
        <v>1019766.3416033622</v>
      </c>
      <c r="R348" s="139">
        <f t="shared" si="49"/>
        <v>1875156.601471124</v>
      </c>
      <c r="S348" s="139">
        <f t="shared" si="50"/>
        <v>1386667.9502673042</v>
      </c>
      <c r="T348" s="139">
        <f t="shared" si="51"/>
        <v>7754638.1097148387</v>
      </c>
      <c r="U348" s="139">
        <f t="shared" si="52"/>
        <v>6380884.4782355176</v>
      </c>
      <c r="V348" s="140">
        <f t="shared" si="53"/>
        <v>17397347.139688782</v>
      </c>
    </row>
    <row r="349" spans="4:22">
      <c r="D349" s="9" t="s">
        <v>1365</v>
      </c>
      <c r="E349" s="9" t="s">
        <v>2279</v>
      </c>
      <c r="F349" s="4" t="s">
        <v>936</v>
      </c>
      <c r="G349" s="9" t="s">
        <v>2461</v>
      </c>
      <c r="H349" s="138">
        <v>129428.04059062857</v>
      </c>
      <c r="I349" s="139">
        <v>64802.131811650615</v>
      </c>
      <c r="J349" s="139">
        <v>0</v>
      </c>
      <c r="K349" s="139">
        <v>0</v>
      </c>
      <c r="L349" s="139">
        <f t="shared" si="45"/>
        <v>129428.04059062857</v>
      </c>
      <c r="M349" s="140">
        <f t="shared" si="46"/>
        <v>64802.131811650615</v>
      </c>
      <c r="N349" s="21">
        <f>INDEX('CHIRP Payment Calc'!AM:AM,MATCH(F:F,'CHIRP Payment Calc'!C:C,0))</f>
        <v>5.4</v>
      </c>
      <c r="O349" s="141">
        <f>INDEX('CHIRP Payment Calc'!AL:AL,MATCH(F:F,'CHIRP Payment Calc'!C:C,0))</f>
        <v>38.300000000000004</v>
      </c>
      <c r="P349" s="138">
        <f t="shared" si="47"/>
        <v>3180833.0675756135</v>
      </c>
      <c r="Q349" s="139">
        <f t="shared" si="48"/>
        <v>194056.12879108518</v>
      </c>
      <c r="R349" s="139">
        <f t="shared" si="49"/>
        <v>741550.57738927787</v>
      </c>
      <c r="S349" s="139">
        <f t="shared" si="50"/>
        <v>0</v>
      </c>
      <c r="T349" s="139">
        <f t="shared" si="51"/>
        <v>2633338.6189774205</v>
      </c>
      <c r="U349" s="139">
        <f t="shared" si="52"/>
        <v>0</v>
      </c>
      <c r="V349" s="140">
        <f t="shared" si="53"/>
        <v>3374889.1963666985</v>
      </c>
    </row>
    <row r="350" spans="4:22">
      <c r="D350" s="9" t="s">
        <v>1365</v>
      </c>
      <c r="E350" s="9" t="s">
        <v>2279</v>
      </c>
      <c r="F350" s="4" t="s">
        <v>2534</v>
      </c>
      <c r="G350" s="9" t="s">
        <v>2929</v>
      </c>
      <c r="H350" s="138">
        <v>0</v>
      </c>
      <c r="I350" s="139">
        <v>0</v>
      </c>
      <c r="J350" s="139">
        <v>0</v>
      </c>
      <c r="K350" s="139">
        <v>0</v>
      </c>
      <c r="L350" s="139">
        <f t="shared" si="45"/>
        <v>0</v>
      </c>
      <c r="M350" s="140">
        <f t="shared" si="46"/>
        <v>0</v>
      </c>
      <c r="N350" s="21">
        <f>INDEX('CHIRP Payment Calc'!AM:AM,MATCH(F:F,'CHIRP Payment Calc'!C:C,0))</f>
        <v>0.49</v>
      </c>
      <c r="O350" s="141">
        <f>INDEX('CHIRP Payment Calc'!AL:AL,MATCH(F:F,'CHIRP Payment Calc'!C:C,0))</f>
        <v>0.74</v>
      </c>
      <c r="P350" s="138">
        <f t="shared" si="47"/>
        <v>0</v>
      </c>
      <c r="Q350" s="139">
        <f t="shared" si="48"/>
        <v>0</v>
      </c>
      <c r="R350" s="139">
        <f t="shared" si="49"/>
        <v>0</v>
      </c>
      <c r="S350" s="139">
        <f t="shared" si="50"/>
        <v>0</v>
      </c>
      <c r="T350" s="139">
        <f t="shared" si="51"/>
        <v>0</v>
      </c>
      <c r="U350" s="139">
        <f t="shared" si="52"/>
        <v>0</v>
      </c>
      <c r="V350" s="140">
        <f t="shared" si="53"/>
        <v>0</v>
      </c>
    </row>
    <row r="351" spans="4:22">
      <c r="D351" s="9" t="s">
        <v>1365</v>
      </c>
      <c r="E351" s="9" t="s">
        <v>2279</v>
      </c>
      <c r="F351" s="4" t="s">
        <v>1596</v>
      </c>
      <c r="G351" s="9" t="s">
        <v>2609</v>
      </c>
      <c r="H351" s="138">
        <v>1845042.5049111836</v>
      </c>
      <c r="I351" s="139">
        <v>6214586.9153268905</v>
      </c>
      <c r="J351" s="139">
        <v>537177.6917531318</v>
      </c>
      <c r="K351" s="139">
        <v>1115081.9648332538</v>
      </c>
      <c r="L351" s="139">
        <f t="shared" si="45"/>
        <v>2382220.1966643156</v>
      </c>
      <c r="M351" s="140">
        <f t="shared" si="46"/>
        <v>7329668.8801601445</v>
      </c>
      <c r="N351" s="21">
        <f>INDEX('CHIRP Payment Calc'!AM:AM,MATCH(F:F,'CHIRP Payment Calc'!C:C,0))</f>
        <v>0.87</v>
      </c>
      <c r="O351" s="141">
        <f>INDEX('CHIRP Payment Calc'!AL:AL,MATCH(F:F,'CHIRP Payment Calc'!C:C,0))</f>
        <v>1.67</v>
      </c>
      <c r="P351" s="138">
        <f t="shared" si="47"/>
        <v>14313078.600965396</v>
      </c>
      <c r="Q351" s="139">
        <f t="shared" si="48"/>
        <v>879785.23287422722</v>
      </c>
      <c r="R351" s="139">
        <f t="shared" si="49"/>
        <v>1703116.1583795541</v>
      </c>
      <c r="S351" s="139">
        <f t="shared" si="50"/>
        <v>497175.09768640931</v>
      </c>
      <c r="T351" s="139">
        <f t="shared" si="51"/>
        <v>11011522.704080539</v>
      </c>
      <c r="U351" s="139">
        <f t="shared" si="52"/>
        <v>1981049.8736931209</v>
      </c>
      <c r="V351" s="140">
        <f t="shared" si="53"/>
        <v>15192863.833839623</v>
      </c>
    </row>
    <row r="352" spans="4:22">
      <c r="D352" s="9" t="s">
        <v>1365</v>
      </c>
      <c r="E352" s="9" t="s">
        <v>2279</v>
      </c>
      <c r="F352" s="4" t="s">
        <v>624</v>
      </c>
      <c r="G352" s="9" t="s">
        <v>2420</v>
      </c>
      <c r="H352" s="138">
        <v>4242786.7026952514</v>
      </c>
      <c r="I352" s="139">
        <v>22824057.366704803</v>
      </c>
      <c r="J352" s="139">
        <v>658566.23020664835</v>
      </c>
      <c r="K352" s="139">
        <v>2396212.2307659118</v>
      </c>
      <c r="L352" s="139">
        <f t="shared" si="45"/>
        <v>4901352.9329019003</v>
      </c>
      <c r="M352" s="140">
        <f t="shared" si="46"/>
        <v>25220269.597470716</v>
      </c>
      <c r="N352" s="21">
        <f>INDEX('CHIRP Payment Calc'!AM:AM,MATCH(F:F,'CHIRP Payment Calc'!C:C,0))</f>
        <v>0.95</v>
      </c>
      <c r="O352" s="141">
        <f>INDEX('CHIRP Payment Calc'!AL:AL,MATCH(F:F,'CHIRP Payment Calc'!C:C,0))</f>
        <v>1.21</v>
      </c>
      <c r="P352" s="138">
        <f t="shared" si="47"/>
        <v>35172811.499196365</v>
      </c>
      <c r="Q352" s="139">
        <f t="shared" si="48"/>
        <v>2155768.4952044375</v>
      </c>
      <c r="R352" s="139">
        <f t="shared" si="49"/>
        <v>4276548.9310986623</v>
      </c>
      <c r="S352" s="139">
        <f t="shared" si="50"/>
        <v>665572.2539322509</v>
      </c>
      <c r="T352" s="139">
        <f t="shared" si="51"/>
        <v>29301972.852745689</v>
      </c>
      <c r="U352" s="139">
        <f t="shared" si="52"/>
        <v>3084485.9566242057</v>
      </c>
      <c r="V352" s="140">
        <f t="shared" si="53"/>
        <v>37328579.994400807</v>
      </c>
    </row>
    <row r="353" spans="4:22">
      <c r="D353" s="9" t="s">
        <v>1365</v>
      </c>
      <c r="E353" s="9" t="s">
        <v>2279</v>
      </c>
      <c r="F353" s="4" t="s">
        <v>1090</v>
      </c>
      <c r="G353" s="9" t="s">
        <v>2616</v>
      </c>
      <c r="H353" s="138">
        <v>3017910.007029424</v>
      </c>
      <c r="I353" s="139">
        <v>4065945.8521895576</v>
      </c>
      <c r="J353" s="139">
        <v>1254513.594576725</v>
      </c>
      <c r="K353" s="139">
        <v>2039023.6343754372</v>
      </c>
      <c r="L353" s="139">
        <f t="shared" si="45"/>
        <v>4272423.6016061492</v>
      </c>
      <c r="M353" s="140">
        <f t="shared" si="46"/>
        <v>6104969.4865649948</v>
      </c>
      <c r="N353" s="21">
        <f>INDEX('CHIRP Payment Calc'!AM:AM,MATCH(F:F,'CHIRP Payment Calc'!C:C,0))</f>
        <v>0.86</v>
      </c>
      <c r="O353" s="141">
        <f>INDEX('CHIRP Payment Calc'!AL:AL,MATCH(F:F,'CHIRP Payment Calc'!C:C,0))</f>
        <v>2.2400000000000002</v>
      </c>
      <c r="P353" s="138">
        <f t="shared" si="47"/>
        <v>17349415.947286878</v>
      </c>
      <c r="Q353" s="139">
        <f t="shared" si="48"/>
        <v>1074385.3135410557</v>
      </c>
      <c r="R353" s="139">
        <f t="shared" si="49"/>
        <v>2753742.8180852034</v>
      </c>
      <c r="S353" s="139">
        <f t="shared" si="50"/>
        <v>1147746.4801446632</v>
      </c>
      <c r="T353" s="139">
        <f t="shared" si="51"/>
        <v>9663362.0253629815</v>
      </c>
      <c r="U353" s="139">
        <f t="shared" si="52"/>
        <v>4858949.9372350844</v>
      </c>
      <c r="V353" s="140">
        <f t="shared" si="53"/>
        <v>18423801.260827933</v>
      </c>
    </row>
    <row r="354" spans="4:22">
      <c r="D354" s="9" t="s">
        <v>1365</v>
      </c>
      <c r="E354" s="9" t="s">
        <v>2279</v>
      </c>
      <c r="F354" s="4" t="s">
        <v>444</v>
      </c>
      <c r="G354" s="9" t="s">
        <v>2556</v>
      </c>
      <c r="H354" s="138">
        <v>0</v>
      </c>
      <c r="I354" s="139">
        <v>0</v>
      </c>
      <c r="J354" s="139">
        <v>0</v>
      </c>
      <c r="K354" s="139">
        <v>0</v>
      </c>
      <c r="L354" s="139">
        <f t="shared" si="45"/>
        <v>0</v>
      </c>
      <c r="M354" s="140">
        <f t="shared" si="46"/>
        <v>0</v>
      </c>
      <c r="N354" s="21">
        <f>INDEX('CHIRP Payment Calc'!AM:AM,MATCH(F:F,'CHIRP Payment Calc'!C:C,0))</f>
        <v>0.49</v>
      </c>
      <c r="O354" s="141">
        <f>INDEX('CHIRP Payment Calc'!AL:AL,MATCH(F:F,'CHIRP Payment Calc'!C:C,0))</f>
        <v>0.74</v>
      </c>
      <c r="P354" s="138">
        <f t="shared" si="47"/>
        <v>0</v>
      </c>
      <c r="Q354" s="139">
        <f t="shared" si="48"/>
        <v>0</v>
      </c>
      <c r="R354" s="139">
        <f t="shared" si="49"/>
        <v>0</v>
      </c>
      <c r="S354" s="139">
        <f t="shared" si="50"/>
        <v>0</v>
      </c>
      <c r="T354" s="139">
        <f t="shared" si="51"/>
        <v>0</v>
      </c>
      <c r="U354" s="139">
        <f t="shared" si="52"/>
        <v>0</v>
      </c>
      <c r="V354" s="140">
        <f t="shared" si="53"/>
        <v>0</v>
      </c>
    </row>
    <row r="355" spans="4:22">
      <c r="D355" s="9" t="s">
        <v>1365</v>
      </c>
      <c r="E355" s="9" t="s">
        <v>2279</v>
      </c>
      <c r="F355" s="4" t="s">
        <v>1093</v>
      </c>
      <c r="G355" s="9" t="s">
        <v>2618</v>
      </c>
      <c r="H355" s="138">
        <v>1008634.3793435785</v>
      </c>
      <c r="I355" s="139">
        <v>1945916.4713361128</v>
      </c>
      <c r="J355" s="139">
        <v>319497.72606847831</v>
      </c>
      <c r="K355" s="139">
        <v>365523.23113574833</v>
      </c>
      <c r="L355" s="139">
        <f t="shared" si="45"/>
        <v>1328132.1054120567</v>
      </c>
      <c r="M355" s="140">
        <f t="shared" si="46"/>
        <v>2311439.7024718612</v>
      </c>
      <c r="N355" s="21">
        <f>INDEX('CHIRP Payment Calc'!AM:AM,MATCH(F:F,'CHIRP Payment Calc'!C:C,0))</f>
        <v>0.75</v>
      </c>
      <c r="O355" s="141">
        <f>INDEX('CHIRP Payment Calc'!AL:AL,MATCH(F:F,'CHIRP Payment Calc'!C:C,0))</f>
        <v>2.06</v>
      </c>
      <c r="P355" s="138">
        <f t="shared" si="47"/>
        <v>5757664.8661510758</v>
      </c>
      <c r="Q355" s="139">
        <f t="shared" si="48"/>
        <v>354064.32517883996</v>
      </c>
      <c r="R355" s="139">
        <f t="shared" si="49"/>
        <v>802626.82706385548</v>
      </c>
      <c r="S355" s="139">
        <f t="shared" si="50"/>
        <v>254918.3984588923</v>
      </c>
      <c r="T355" s="139">
        <f t="shared" si="51"/>
        <v>4253143.6933181882</v>
      </c>
      <c r="U355" s="139">
        <f t="shared" si="52"/>
        <v>801040.27248898044</v>
      </c>
      <c r="V355" s="140">
        <f t="shared" si="53"/>
        <v>6111729.191329916</v>
      </c>
    </row>
    <row r="356" spans="4:22">
      <c r="D356" s="9" t="s">
        <v>1365</v>
      </c>
      <c r="E356" s="9" t="s">
        <v>2279</v>
      </c>
      <c r="F356" s="4" t="s">
        <v>829</v>
      </c>
      <c r="G356" s="9" t="s">
        <v>2423</v>
      </c>
      <c r="H356" s="138">
        <v>1442004.5685808121</v>
      </c>
      <c r="I356" s="139">
        <v>3078205.1222077832</v>
      </c>
      <c r="J356" s="139">
        <v>225702.85220936741</v>
      </c>
      <c r="K356" s="139">
        <v>452016.24641537975</v>
      </c>
      <c r="L356" s="139">
        <f t="shared" si="45"/>
        <v>1667707.4207901794</v>
      </c>
      <c r="M356" s="140">
        <f t="shared" si="46"/>
        <v>3530221.3686231631</v>
      </c>
      <c r="N356" s="21">
        <f>INDEX('CHIRP Payment Calc'!AM:AM,MATCH(F:F,'CHIRP Payment Calc'!C:C,0))</f>
        <v>0.90999999999999992</v>
      </c>
      <c r="O356" s="141">
        <f>INDEX('CHIRP Payment Calc'!AL:AL,MATCH(F:F,'CHIRP Payment Calc'!C:C,0))</f>
        <v>1.68</v>
      </c>
      <c r="P356" s="138">
        <f t="shared" si="47"/>
        <v>7448385.6522059767</v>
      </c>
      <c r="Q356" s="139">
        <f t="shared" si="48"/>
        <v>457133.2318138202</v>
      </c>
      <c r="R356" s="139">
        <f t="shared" si="49"/>
        <v>1392280.273112508</v>
      </c>
      <c r="S356" s="139">
        <f t="shared" si="50"/>
        <v>218499.56969204717</v>
      </c>
      <c r="T356" s="139">
        <f t="shared" si="51"/>
        <v>5486880.217834563</v>
      </c>
      <c r="U356" s="139">
        <f t="shared" si="52"/>
        <v>807858.82338067866</v>
      </c>
      <c r="V356" s="140">
        <f t="shared" si="53"/>
        <v>7905518.8840197967</v>
      </c>
    </row>
    <row r="357" spans="4:22">
      <c r="D357" s="9" t="s">
        <v>1365</v>
      </c>
      <c r="E357" s="9" t="s">
        <v>2279</v>
      </c>
      <c r="F357" s="4" t="s">
        <v>627</v>
      </c>
      <c r="G357" s="9" t="s">
        <v>2424</v>
      </c>
      <c r="H357" s="138">
        <v>874729.96636845544</v>
      </c>
      <c r="I357" s="139">
        <v>379745.72387708531</v>
      </c>
      <c r="J357" s="139">
        <v>388776.06165114685</v>
      </c>
      <c r="K357" s="139">
        <v>1925180.8865480144</v>
      </c>
      <c r="L357" s="139">
        <f t="shared" si="45"/>
        <v>1263506.0280196024</v>
      </c>
      <c r="M357" s="140">
        <f t="shared" si="46"/>
        <v>2304926.6104250997</v>
      </c>
      <c r="N357" s="21">
        <f>INDEX('CHIRP Payment Calc'!AM:AM,MATCH(F:F,'CHIRP Payment Calc'!C:C,0))</f>
        <v>1.26</v>
      </c>
      <c r="O357" s="141">
        <f>INDEX('CHIRP Payment Calc'!AL:AL,MATCH(F:F,'CHIRP Payment Calc'!C:C,0))</f>
        <v>2.25</v>
      </c>
      <c r="P357" s="138">
        <f t="shared" si="47"/>
        <v>6778102.468761174</v>
      </c>
      <c r="Q357" s="139">
        <f t="shared" si="48"/>
        <v>427123.68137883081</v>
      </c>
      <c r="R357" s="139">
        <f t="shared" si="49"/>
        <v>1169400.2733413833</v>
      </c>
      <c r="S357" s="139">
        <f t="shared" si="50"/>
        <v>521125.35923451604</v>
      </c>
      <c r="T357" s="139">
        <f t="shared" si="51"/>
        <v>906554.77848641062</v>
      </c>
      <c r="U357" s="139">
        <f t="shared" si="52"/>
        <v>4608145.7390776947</v>
      </c>
      <c r="V357" s="140">
        <f t="shared" si="53"/>
        <v>7205226.1501400042</v>
      </c>
    </row>
    <row r="358" spans="4:22">
      <c r="D358" s="9" t="s">
        <v>1365</v>
      </c>
      <c r="E358" s="9" t="s">
        <v>2279</v>
      </c>
      <c r="F358" s="4" t="s">
        <v>1102</v>
      </c>
      <c r="G358" s="9" t="s">
        <v>2606</v>
      </c>
      <c r="H358" s="138">
        <v>6743869.9982707668</v>
      </c>
      <c r="I358" s="139">
        <v>18692189.013165083</v>
      </c>
      <c r="J358" s="139">
        <v>5836618.2607161468</v>
      </c>
      <c r="K358" s="139">
        <v>13544717.242269766</v>
      </c>
      <c r="L358" s="139">
        <f t="shared" si="45"/>
        <v>12580488.258986913</v>
      </c>
      <c r="M358" s="140">
        <f t="shared" si="46"/>
        <v>32236906.255434848</v>
      </c>
      <c r="N358" s="21">
        <f>INDEX('CHIRP Payment Calc'!AM:AM,MATCH(F:F,'CHIRP Payment Calc'!C:C,0))</f>
        <v>0.76</v>
      </c>
      <c r="O358" s="141">
        <f>INDEX('CHIRP Payment Calc'!AL:AL,MATCH(F:F,'CHIRP Payment Calc'!C:C,0))</f>
        <v>2.09</v>
      </c>
      <c r="P358" s="138">
        <f t="shared" si="47"/>
        <v>76936305.150688887</v>
      </c>
      <c r="Q358" s="139">
        <f t="shared" si="48"/>
        <v>4786125.6455566958</v>
      </c>
      <c r="R358" s="139">
        <f t="shared" si="49"/>
        <v>5438027.797014094</v>
      </c>
      <c r="S358" s="139">
        <f t="shared" si="50"/>
        <v>4718967.9554726295</v>
      </c>
      <c r="T358" s="139">
        <f t="shared" si="51"/>
        <v>41450053.090201609</v>
      </c>
      <c r="U358" s="139">
        <f t="shared" si="52"/>
        <v>30115381.953557245</v>
      </c>
      <c r="V358" s="140">
        <f t="shared" si="53"/>
        <v>81722430.796245575</v>
      </c>
    </row>
    <row r="359" spans="4:22">
      <c r="D359" s="9" t="s">
        <v>1365</v>
      </c>
      <c r="E359" s="9" t="s">
        <v>2279</v>
      </c>
      <c r="F359" s="4" t="s">
        <v>1099</v>
      </c>
      <c r="G359" s="9" t="s">
        <v>2610</v>
      </c>
      <c r="H359" s="138">
        <v>1428871.5000940028</v>
      </c>
      <c r="I359" s="139">
        <v>1450293.2710042414</v>
      </c>
      <c r="J359" s="139">
        <v>675093.4689781199</v>
      </c>
      <c r="K359" s="139">
        <v>522114.66551062174</v>
      </c>
      <c r="L359" s="139">
        <f t="shared" si="45"/>
        <v>2103964.9690721226</v>
      </c>
      <c r="M359" s="140">
        <f t="shared" si="46"/>
        <v>1972407.9365148633</v>
      </c>
      <c r="N359" s="21">
        <f>INDEX('CHIRP Payment Calc'!AM:AM,MATCH(F:F,'CHIRP Payment Calc'!C:C,0))</f>
        <v>0.88</v>
      </c>
      <c r="O359" s="141">
        <f>INDEX('CHIRP Payment Calc'!AL:AL,MATCH(F:F,'CHIRP Payment Calc'!C:C,0))</f>
        <v>2.0700000000000003</v>
      </c>
      <c r="P359" s="138">
        <f t="shared" si="47"/>
        <v>5934373.6013692357</v>
      </c>
      <c r="Q359" s="139">
        <f t="shared" si="48"/>
        <v>366770.1813643846</v>
      </c>
      <c r="R359" s="139">
        <f t="shared" si="49"/>
        <v>1334118.7480983795</v>
      </c>
      <c r="S359" s="139">
        <f t="shared" si="50"/>
        <v>632002.39649015479</v>
      </c>
      <c r="T359" s="139">
        <f t="shared" si="51"/>
        <v>3185259.4917546739</v>
      </c>
      <c r="U359" s="139">
        <f t="shared" si="52"/>
        <v>1149763.1463904118</v>
      </c>
      <c r="V359" s="140">
        <f t="shared" si="53"/>
        <v>6301143.7827336201</v>
      </c>
    </row>
    <row r="360" spans="4:22">
      <c r="D360" s="9" t="s">
        <v>1365</v>
      </c>
      <c r="E360" s="9" t="s">
        <v>2279</v>
      </c>
      <c r="F360" s="4" t="s">
        <v>8</v>
      </c>
      <c r="G360" s="9" t="s">
        <v>2619</v>
      </c>
      <c r="H360" s="138">
        <v>27000.46337452525</v>
      </c>
      <c r="I360" s="139">
        <v>0</v>
      </c>
      <c r="J360" s="139">
        <v>70912.860501874762</v>
      </c>
      <c r="K360" s="139">
        <v>60666.927062735173</v>
      </c>
      <c r="L360" s="139">
        <f t="shared" si="45"/>
        <v>97913.323876400013</v>
      </c>
      <c r="M360" s="140">
        <f t="shared" si="46"/>
        <v>60666.927062735173</v>
      </c>
      <c r="N360" s="21">
        <f>INDEX('CHIRP Payment Calc'!AM:AM,MATCH(F:F,'CHIRP Payment Calc'!C:C,0))</f>
        <v>0.88</v>
      </c>
      <c r="O360" s="141">
        <f>INDEX('CHIRP Payment Calc'!AL:AL,MATCH(F:F,'CHIRP Payment Calc'!C:C,0))</f>
        <v>3.1100000000000003</v>
      </c>
      <c r="P360" s="138">
        <f t="shared" si="47"/>
        <v>274837.86817633844</v>
      </c>
      <c r="Q360" s="139">
        <f t="shared" si="48"/>
        <v>17475.794825834397</v>
      </c>
      <c r="R360" s="139">
        <f t="shared" si="49"/>
        <v>25209.981718389623</v>
      </c>
      <c r="S360" s="139">
        <f t="shared" si="50"/>
        <v>66386.507703882759</v>
      </c>
      <c r="T360" s="139">
        <f t="shared" si="51"/>
        <v>0</v>
      </c>
      <c r="U360" s="139">
        <f t="shared" si="52"/>
        <v>200717.17357990044</v>
      </c>
      <c r="V360" s="140">
        <f t="shared" si="53"/>
        <v>292313.66300217283</v>
      </c>
    </row>
    <row r="361" spans="4:22">
      <c r="D361" s="9" t="s">
        <v>1365</v>
      </c>
      <c r="E361" s="9" t="s">
        <v>2279</v>
      </c>
      <c r="F361" s="4" t="s">
        <v>1169</v>
      </c>
      <c r="G361" s="9" t="s">
        <v>2419</v>
      </c>
      <c r="H361" s="138">
        <v>1146069.3351178388</v>
      </c>
      <c r="I361" s="139">
        <v>2135582.5296696862</v>
      </c>
      <c r="J361" s="139">
        <v>476113.87180726894</v>
      </c>
      <c r="K361" s="139">
        <v>969811.77398120961</v>
      </c>
      <c r="L361" s="139">
        <f t="shared" si="45"/>
        <v>1622183.2069251076</v>
      </c>
      <c r="M361" s="140">
        <f t="shared" si="46"/>
        <v>3105394.3036508961</v>
      </c>
      <c r="N361" s="21">
        <f>INDEX('CHIRP Payment Calc'!AM:AM,MATCH(F:F,'CHIRP Payment Calc'!C:C,0))</f>
        <v>1.03</v>
      </c>
      <c r="O361" s="141">
        <f>INDEX('CHIRP Payment Calc'!AL:AL,MATCH(F:F,'CHIRP Payment Calc'!C:C,0))</f>
        <v>1.5899999999999999</v>
      </c>
      <c r="P361" s="138">
        <f t="shared" si="47"/>
        <v>6608425.6459377855</v>
      </c>
      <c r="Q361" s="139">
        <f t="shared" si="48"/>
        <v>408901.63235444023</v>
      </c>
      <c r="R361" s="139">
        <f t="shared" si="49"/>
        <v>1252468.3450094152</v>
      </c>
      <c r="S361" s="139">
        <f t="shared" si="50"/>
        <v>521699.24251222023</v>
      </c>
      <c r="T361" s="139">
        <f t="shared" si="51"/>
        <v>3602733.3922279053</v>
      </c>
      <c r="U361" s="139">
        <f t="shared" si="52"/>
        <v>1640426.2985426842</v>
      </c>
      <c r="V361" s="140">
        <f t="shared" si="53"/>
        <v>7017327.2782922247</v>
      </c>
    </row>
    <row r="362" spans="4:22">
      <c r="D362" s="9" t="s">
        <v>1365</v>
      </c>
      <c r="E362" s="9" t="s">
        <v>2279</v>
      </c>
      <c r="F362" s="4" t="s">
        <v>1105</v>
      </c>
      <c r="G362" s="9" t="s">
        <v>2608</v>
      </c>
      <c r="H362" s="138">
        <v>2537450.4943529414</v>
      </c>
      <c r="I362" s="139">
        <v>8800157.0187503304</v>
      </c>
      <c r="J362" s="139">
        <v>1490893.1609863588</v>
      </c>
      <c r="K362" s="139">
        <v>1601938.990236941</v>
      </c>
      <c r="L362" s="139">
        <f t="shared" si="45"/>
        <v>4028343.6553393002</v>
      </c>
      <c r="M362" s="140">
        <f t="shared" si="46"/>
        <v>10402096.008987272</v>
      </c>
      <c r="N362" s="21">
        <f>INDEX('CHIRP Payment Calc'!AM:AM,MATCH(F:F,'CHIRP Payment Calc'!C:C,0))</f>
        <v>0.89</v>
      </c>
      <c r="O362" s="141">
        <f>INDEX('CHIRP Payment Calc'!AL:AL,MATCH(F:F,'CHIRP Payment Calc'!C:C,0))</f>
        <v>1.85</v>
      </c>
      <c r="P362" s="138">
        <f t="shared" si="47"/>
        <v>22829103.469878431</v>
      </c>
      <c r="Q362" s="139">
        <f t="shared" si="48"/>
        <v>1404863.9851684291</v>
      </c>
      <c r="R362" s="139">
        <f t="shared" si="49"/>
        <v>2396107.0981157748</v>
      </c>
      <c r="S362" s="139">
        <f t="shared" si="50"/>
        <v>1411590.3332743184</v>
      </c>
      <c r="T362" s="139">
        <f t="shared" si="51"/>
        <v>17273517.755637255</v>
      </c>
      <c r="U362" s="139">
        <f t="shared" si="52"/>
        <v>3152752.2680195118</v>
      </c>
      <c r="V362" s="140">
        <f t="shared" si="53"/>
        <v>24233967.455046859</v>
      </c>
    </row>
    <row r="363" spans="4:22">
      <c r="D363" s="9" t="s">
        <v>1365</v>
      </c>
      <c r="E363" s="9" t="s">
        <v>2279</v>
      </c>
      <c r="F363" s="4" t="s">
        <v>1420</v>
      </c>
      <c r="G363" s="9" t="s">
        <v>2638</v>
      </c>
      <c r="H363" s="138">
        <v>0</v>
      </c>
      <c r="I363" s="139">
        <v>0</v>
      </c>
      <c r="J363" s="139">
        <v>0</v>
      </c>
      <c r="K363" s="139">
        <v>0</v>
      </c>
      <c r="L363" s="139">
        <f t="shared" si="45"/>
        <v>0</v>
      </c>
      <c r="M363" s="140">
        <f t="shared" si="46"/>
        <v>0</v>
      </c>
      <c r="N363" s="21">
        <f>INDEX('CHIRP Payment Calc'!AM:AM,MATCH(F:F,'CHIRP Payment Calc'!C:C,0))</f>
        <v>0.49</v>
      </c>
      <c r="O363" s="141">
        <f>INDEX('CHIRP Payment Calc'!AL:AL,MATCH(F:F,'CHIRP Payment Calc'!C:C,0))</f>
        <v>0.74</v>
      </c>
      <c r="P363" s="138">
        <f t="shared" si="47"/>
        <v>0</v>
      </c>
      <c r="Q363" s="139">
        <f t="shared" si="48"/>
        <v>0</v>
      </c>
      <c r="R363" s="139">
        <f t="shared" si="49"/>
        <v>0</v>
      </c>
      <c r="S363" s="139">
        <f t="shared" si="50"/>
        <v>0</v>
      </c>
      <c r="T363" s="139">
        <f t="shared" si="51"/>
        <v>0</v>
      </c>
      <c r="U363" s="139">
        <f t="shared" si="52"/>
        <v>0</v>
      </c>
      <c r="V363" s="140">
        <f t="shared" si="53"/>
        <v>0</v>
      </c>
    </row>
    <row r="364" spans="4:22">
      <c r="D364" s="9" t="s">
        <v>1365</v>
      </c>
      <c r="E364" s="9" t="s">
        <v>2279</v>
      </c>
      <c r="F364" s="4" t="s">
        <v>1096</v>
      </c>
      <c r="G364" s="9" t="s">
        <v>2607</v>
      </c>
      <c r="H364" s="138">
        <v>755081.1593560183</v>
      </c>
      <c r="I364" s="139">
        <v>115513.69936389639</v>
      </c>
      <c r="J364" s="139">
        <v>484154.92588556162</v>
      </c>
      <c r="K364" s="139">
        <v>336654.02374228672</v>
      </c>
      <c r="L364" s="139">
        <f t="shared" si="45"/>
        <v>1239236.0852415799</v>
      </c>
      <c r="M364" s="140">
        <f t="shared" si="46"/>
        <v>452167.72310618311</v>
      </c>
      <c r="N364" s="21">
        <f>INDEX('CHIRP Payment Calc'!AM:AM,MATCH(F:F,'CHIRP Payment Calc'!C:C,0))</f>
        <v>0.83000000000000007</v>
      </c>
      <c r="O364" s="141">
        <f>INDEX('CHIRP Payment Calc'!AL:AL,MATCH(F:F,'CHIRP Payment Calc'!C:C,0))</f>
        <v>2.12</v>
      </c>
      <c r="P364" s="138">
        <f t="shared" si="47"/>
        <v>1987161.5237356196</v>
      </c>
      <c r="Q364" s="139">
        <f t="shared" si="48"/>
        <v>124380.57244196278</v>
      </c>
      <c r="R364" s="139">
        <f t="shared" si="49"/>
        <v>664952.1085045042</v>
      </c>
      <c r="S364" s="139">
        <f t="shared" si="50"/>
        <v>427498.49838831509</v>
      </c>
      <c r="T364" s="139">
        <f t="shared" si="51"/>
        <v>259829.22297237173</v>
      </c>
      <c r="U364" s="139">
        <f t="shared" si="52"/>
        <v>759262.2663123915</v>
      </c>
      <c r="V364" s="140">
        <f t="shared" si="53"/>
        <v>2111542.0961775826</v>
      </c>
    </row>
    <row r="365" spans="4:22">
      <c r="D365" s="9" t="s">
        <v>1365</v>
      </c>
      <c r="E365" s="9" t="s">
        <v>2279</v>
      </c>
      <c r="F365" s="4" t="s">
        <v>636</v>
      </c>
      <c r="G365" s="9" t="s">
        <v>2422</v>
      </c>
      <c r="H365" s="138">
        <v>827263.47732658416</v>
      </c>
      <c r="I365" s="139">
        <v>227029.34680172152</v>
      </c>
      <c r="J365" s="139">
        <v>360968.35218574316</v>
      </c>
      <c r="K365" s="139">
        <v>786527.30891917017</v>
      </c>
      <c r="L365" s="139">
        <f t="shared" si="45"/>
        <v>1188231.8295123274</v>
      </c>
      <c r="M365" s="140">
        <f t="shared" si="46"/>
        <v>1013556.6557208917</v>
      </c>
      <c r="N365" s="21">
        <f>INDEX('CHIRP Payment Calc'!AM:AM,MATCH(F:F,'CHIRP Payment Calc'!C:C,0))</f>
        <v>0.85</v>
      </c>
      <c r="O365" s="141">
        <f>INDEX('CHIRP Payment Calc'!AL:AL,MATCH(F:F,'CHIRP Payment Calc'!C:C,0))</f>
        <v>2.96</v>
      </c>
      <c r="P365" s="138">
        <f t="shared" si="47"/>
        <v>4010124.7560193175</v>
      </c>
      <c r="Q365" s="139">
        <f t="shared" si="48"/>
        <v>252084.8839068127</v>
      </c>
      <c r="R365" s="139">
        <f t="shared" si="49"/>
        <v>746073.16257569927</v>
      </c>
      <c r="S365" s="139">
        <f t="shared" si="50"/>
        <v>326407.5525083848</v>
      </c>
      <c r="T365" s="139">
        <f t="shared" si="51"/>
        <v>713004.63292636152</v>
      </c>
      <c r="U365" s="139">
        <f t="shared" si="52"/>
        <v>2476724.2919156849</v>
      </c>
      <c r="V365" s="140">
        <f t="shared" si="53"/>
        <v>4262209.63992613</v>
      </c>
    </row>
    <row r="366" spans="4:22">
      <c r="D366" s="9" t="s">
        <v>1365</v>
      </c>
      <c r="E366" s="9" t="s">
        <v>2279</v>
      </c>
      <c r="F366" s="4" t="s">
        <v>2955</v>
      </c>
      <c r="G366" s="9" t="s">
        <v>2932</v>
      </c>
      <c r="H366" s="138">
        <v>0</v>
      </c>
      <c r="I366" s="139">
        <v>0</v>
      </c>
      <c r="J366" s="139">
        <v>0</v>
      </c>
      <c r="K366" s="139">
        <v>0</v>
      </c>
      <c r="L366" s="139">
        <f t="shared" si="45"/>
        <v>0</v>
      </c>
      <c r="M366" s="140">
        <f t="shared" si="46"/>
        <v>0</v>
      </c>
      <c r="N366" s="21">
        <f>INDEX('CHIRP Payment Calc'!AM:AM,MATCH(F:F,'CHIRP Payment Calc'!C:C,0))</f>
        <v>0.49</v>
      </c>
      <c r="O366" s="141">
        <f>INDEX('CHIRP Payment Calc'!AL:AL,MATCH(F:F,'CHIRP Payment Calc'!C:C,0))</f>
        <v>0.74</v>
      </c>
      <c r="P366" s="138">
        <f t="shared" si="47"/>
        <v>0</v>
      </c>
      <c r="Q366" s="139">
        <f t="shared" si="48"/>
        <v>0</v>
      </c>
      <c r="R366" s="139">
        <f t="shared" si="49"/>
        <v>0</v>
      </c>
      <c r="S366" s="139">
        <f t="shared" si="50"/>
        <v>0</v>
      </c>
      <c r="T366" s="139">
        <f t="shared" si="51"/>
        <v>0</v>
      </c>
      <c r="U366" s="139">
        <f t="shared" si="52"/>
        <v>0</v>
      </c>
      <c r="V366" s="140">
        <f t="shared" si="53"/>
        <v>0</v>
      </c>
    </row>
    <row r="367" spans="4:22">
      <c r="D367" s="9" t="s">
        <v>1365</v>
      </c>
      <c r="E367" s="9" t="s">
        <v>2279</v>
      </c>
      <c r="F367" s="4" t="s">
        <v>405</v>
      </c>
      <c r="G367" s="9" t="s">
        <v>2621</v>
      </c>
      <c r="H367" s="138">
        <v>83427.454912282323</v>
      </c>
      <c r="I367" s="139">
        <v>0</v>
      </c>
      <c r="J367" s="139">
        <v>8326.6025224329096</v>
      </c>
      <c r="K367" s="139">
        <v>0</v>
      </c>
      <c r="L367" s="139">
        <f t="shared" si="45"/>
        <v>91754.057434715229</v>
      </c>
      <c r="M367" s="140">
        <f t="shared" si="46"/>
        <v>0</v>
      </c>
      <c r="N367" s="21">
        <f>INDEX('CHIRP Payment Calc'!AM:AM,MATCH(F:F,'CHIRP Payment Calc'!C:C,0))</f>
        <v>2.16</v>
      </c>
      <c r="O367" s="141">
        <f>INDEX('CHIRP Payment Calc'!AL:AL,MATCH(F:F,'CHIRP Payment Calc'!C:C,0))</f>
        <v>0.74</v>
      </c>
      <c r="P367" s="138">
        <f t="shared" si="47"/>
        <v>198188.7640589849</v>
      </c>
      <c r="Q367" s="139">
        <f t="shared" si="48"/>
        <v>12141.843615338646</v>
      </c>
      <c r="R367" s="139">
        <f t="shared" si="49"/>
        <v>191197.13804830753</v>
      </c>
      <c r="S367" s="139">
        <f t="shared" si="50"/>
        <v>19133.469626016049</v>
      </c>
      <c r="T367" s="139">
        <f t="shared" si="51"/>
        <v>0</v>
      </c>
      <c r="U367" s="139">
        <f t="shared" si="52"/>
        <v>0</v>
      </c>
      <c r="V367" s="140">
        <f t="shared" si="53"/>
        <v>210330.60767432358</v>
      </c>
    </row>
    <row r="368" spans="4:22">
      <c r="D368" s="9" t="s">
        <v>1365</v>
      </c>
      <c r="E368" s="9" t="s">
        <v>2279</v>
      </c>
      <c r="F368" s="4" t="s">
        <v>639</v>
      </c>
      <c r="G368" s="9" t="s">
        <v>2421</v>
      </c>
      <c r="H368" s="138">
        <v>1658856.9292122184</v>
      </c>
      <c r="I368" s="139">
        <v>1681770.5283640588</v>
      </c>
      <c r="J368" s="139">
        <v>1825899.991937442</v>
      </c>
      <c r="K368" s="139">
        <v>3838387.5494283033</v>
      </c>
      <c r="L368" s="139">
        <f t="shared" si="45"/>
        <v>3484756.9211496604</v>
      </c>
      <c r="M368" s="140">
        <f t="shared" si="46"/>
        <v>5520158.0777923623</v>
      </c>
      <c r="N368" s="21">
        <f>INDEX('CHIRP Payment Calc'!AM:AM,MATCH(F:F,'CHIRP Payment Calc'!C:C,0))</f>
        <v>1.73</v>
      </c>
      <c r="O368" s="141">
        <f>INDEX('CHIRP Payment Calc'!AL:AL,MATCH(F:F,'CHIRP Payment Calc'!C:C,0))</f>
        <v>2.48</v>
      </c>
      <c r="P368" s="138">
        <f t="shared" si="47"/>
        <v>19718621.506513972</v>
      </c>
      <c r="Q368" s="139">
        <f t="shared" si="48"/>
        <v>1238768.0034975621</v>
      </c>
      <c r="R368" s="139">
        <f t="shared" si="49"/>
        <v>3044904.4960606233</v>
      </c>
      <c r="S368" s="139">
        <f t="shared" si="50"/>
        <v>3360432.9638848668</v>
      </c>
      <c r="T368" s="139">
        <f t="shared" si="51"/>
        <v>4425242.3451913698</v>
      </c>
      <c r="U368" s="139">
        <f t="shared" si="52"/>
        <v>10126809.704874672</v>
      </c>
      <c r="V368" s="140">
        <f t="shared" si="53"/>
        <v>20957389.510011531</v>
      </c>
    </row>
    <row r="369" spans="4:22">
      <c r="D369" s="9" t="s">
        <v>1365</v>
      </c>
      <c r="E369" s="9" t="s">
        <v>2279</v>
      </c>
      <c r="F369" s="4" t="s">
        <v>469</v>
      </c>
      <c r="G369" s="9" t="s">
        <v>2566</v>
      </c>
      <c r="H369" s="138">
        <v>279040.01524575619</v>
      </c>
      <c r="I369" s="139">
        <v>64918.215102283808</v>
      </c>
      <c r="J369" s="139">
        <v>107130.2295217543</v>
      </c>
      <c r="K369" s="139">
        <v>455991.37553086167</v>
      </c>
      <c r="L369" s="139">
        <f t="shared" si="45"/>
        <v>386170.24476751051</v>
      </c>
      <c r="M369" s="140">
        <f t="shared" si="46"/>
        <v>520909.59063314548</v>
      </c>
      <c r="N369" s="21">
        <f>INDEX('CHIRP Payment Calc'!AM:AM,MATCH(F:F,'CHIRP Payment Calc'!C:C,0))</f>
        <v>0.66</v>
      </c>
      <c r="O369" s="141">
        <f>INDEX('CHIRP Payment Calc'!AL:AL,MATCH(F:F,'CHIRP Payment Calc'!C:C,0))</f>
        <v>1.72</v>
      </c>
      <c r="P369" s="138">
        <f t="shared" si="47"/>
        <v>1150836.8574355673</v>
      </c>
      <c r="Q369" s="139">
        <f t="shared" si="48"/>
        <v>72622.901899527089</v>
      </c>
      <c r="R369" s="139">
        <f t="shared" si="49"/>
        <v>195402.0265911927</v>
      </c>
      <c r="S369" s="139">
        <f t="shared" si="50"/>
        <v>75219.097323784939</v>
      </c>
      <c r="T369" s="139">
        <f t="shared" si="51"/>
        <v>118471.43764024206</v>
      </c>
      <c r="U369" s="139">
        <f t="shared" si="52"/>
        <v>834367.19777987467</v>
      </c>
      <c r="V369" s="140">
        <f t="shared" si="53"/>
        <v>1223459.7593350944</v>
      </c>
    </row>
    <row r="370" spans="4:22">
      <c r="D370" s="9" t="s">
        <v>1365</v>
      </c>
      <c r="E370" s="9" t="s">
        <v>2279</v>
      </c>
      <c r="F370" s="4" t="s">
        <v>510</v>
      </c>
      <c r="G370" s="9" t="s">
        <v>2338</v>
      </c>
      <c r="H370" s="138">
        <v>2835847.6149698822</v>
      </c>
      <c r="I370" s="139">
        <v>18701824.005066905</v>
      </c>
      <c r="J370" s="139">
        <v>529904.22515630245</v>
      </c>
      <c r="K370" s="139">
        <v>1298174.1946572592</v>
      </c>
      <c r="L370" s="139">
        <f t="shared" si="45"/>
        <v>3365751.8401261847</v>
      </c>
      <c r="M370" s="140">
        <f t="shared" si="46"/>
        <v>19999998.199724164</v>
      </c>
      <c r="N370" s="21">
        <f>INDEX('CHIRP Payment Calc'!AM:AM,MATCH(F:F,'CHIRP Payment Calc'!C:C,0))</f>
        <v>0.83000000000000007</v>
      </c>
      <c r="O370" s="141">
        <f>INDEX('CHIRP Payment Calc'!AL:AL,MATCH(F:F,'CHIRP Payment Calc'!C:C,0))</f>
        <v>1.46</v>
      </c>
      <c r="P370" s="138">
        <f t="shared" si="47"/>
        <v>31993571.398902014</v>
      </c>
      <c r="Q370" s="139">
        <f t="shared" si="48"/>
        <v>1958451.8552834271</v>
      </c>
      <c r="R370" s="139">
        <f t="shared" si="49"/>
        <v>2497351.215305042</v>
      </c>
      <c r="S370" s="139">
        <f t="shared" si="50"/>
        <v>467894.15625503304</v>
      </c>
      <c r="T370" s="139">
        <f t="shared" si="51"/>
        <v>28970464.771774732</v>
      </c>
      <c r="U370" s="139">
        <f t="shared" si="52"/>
        <v>2016313.1108506368</v>
      </c>
      <c r="V370" s="140">
        <f t="shared" si="53"/>
        <v>33952023.254185446</v>
      </c>
    </row>
    <row r="371" spans="4:22">
      <c r="D371" s="9" t="s">
        <v>1365</v>
      </c>
      <c r="E371" s="9" t="s">
        <v>2279</v>
      </c>
      <c r="F371" s="4" t="s">
        <v>121</v>
      </c>
      <c r="G371" s="9" t="s">
        <v>2746</v>
      </c>
      <c r="H371" s="138">
        <v>556193.10259927716</v>
      </c>
      <c r="I371" s="139">
        <v>0</v>
      </c>
      <c r="J371" s="139">
        <v>0</v>
      </c>
      <c r="K371" s="139">
        <v>0</v>
      </c>
      <c r="L371" s="139">
        <f t="shared" si="45"/>
        <v>556193.10259927716</v>
      </c>
      <c r="M371" s="140">
        <f t="shared" si="46"/>
        <v>0</v>
      </c>
      <c r="N371" s="21">
        <f>INDEX('CHIRP Payment Calc'!AM:AM,MATCH(F:F,'CHIRP Payment Calc'!C:C,0))</f>
        <v>1.55</v>
      </c>
      <c r="O371" s="141">
        <f>INDEX('CHIRP Payment Calc'!AL:AL,MATCH(F:F,'CHIRP Payment Calc'!C:C,0))</f>
        <v>0.74</v>
      </c>
      <c r="P371" s="138">
        <f t="shared" si="47"/>
        <v>862099.30902887962</v>
      </c>
      <c r="Q371" s="139">
        <f t="shared" si="48"/>
        <v>52594.918057464805</v>
      </c>
      <c r="R371" s="139">
        <f t="shared" si="49"/>
        <v>914694.22708634438</v>
      </c>
      <c r="S371" s="139">
        <f t="shared" si="50"/>
        <v>0</v>
      </c>
      <c r="T371" s="139">
        <f t="shared" si="51"/>
        <v>0</v>
      </c>
      <c r="U371" s="139">
        <f t="shared" si="52"/>
        <v>0</v>
      </c>
      <c r="V371" s="140">
        <f t="shared" si="53"/>
        <v>914694.22708634438</v>
      </c>
    </row>
    <row r="372" spans="4:22">
      <c r="D372" s="9" t="s">
        <v>1365</v>
      </c>
      <c r="E372" s="9" t="s">
        <v>2279</v>
      </c>
      <c r="F372" s="4" t="s">
        <v>265</v>
      </c>
      <c r="G372" s="9" t="s">
        <v>2860</v>
      </c>
      <c r="H372" s="138">
        <v>1083016.3422813099</v>
      </c>
      <c r="I372" s="139">
        <v>2625421.7711647511</v>
      </c>
      <c r="J372" s="139">
        <v>308406.82034434308</v>
      </c>
      <c r="K372" s="139">
        <v>816276.67523511616</v>
      </c>
      <c r="L372" s="139">
        <f t="shared" si="45"/>
        <v>1391423.162625653</v>
      </c>
      <c r="M372" s="140">
        <f t="shared" si="46"/>
        <v>3441698.4463998675</v>
      </c>
      <c r="N372" s="21">
        <f>INDEX('CHIRP Payment Calc'!AM:AM,MATCH(F:F,'CHIRP Payment Calc'!C:C,0))</f>
        <v>1.01</v>
      </c>
      <c r="O372" s="141">
        <f>INDEX('CHIRP Payment Calc'!AL:AL,MATCH(F:F,'CHIRP Payment Calc'!C:C,0))</f>
        <v>1.85</v>
      </c>
      <c r="P372" s="138">
        <f t="shared" si="47"/>
        <v>7772479.520091664</v>
      </c>
      <c r="Q372" s="139">
        <f t="shared" si="48"/>
        <v>479323.35335547873</v>
      </c>
      <c r="R372" s="139">
        <f t="shared" si="49"/>
        <v>1160579.8469009262</v>
      </c>
      <c r="S372" s="139">
        <f t="shared" si="50"/>
        <v>331373.28568913456</v>
      </c>
      <c r="T372" s="139">
        <f t="shared" si="51"/>
        <v>5153347.7736390345</v>
      </c>
      <c r="U372" s="139">
        <f t="shared" si="52"/>
        <v>1606501.9672180479</v>
      </c>
      <c r="V372" s="140">
        <f t="shared" si="53"/>
        <v>8251802.8734471435</v>
      </c>
    </row>
    <row r="373" spans="4:22">
      <c r="D373" s="9" t="s">
        <v>1365</v>
      </c>
      <c r="E373" s="9" t="s">
        <v>2279</v>
      </c>
      <c r="F373" s="4" t="s">
        <v>1411</v>
      </c>
      <c r="G373" s="9" t="s">
        <v>2634</v>
      </c>
      <c r="H373" s="138">
        <v>0</v>
      </c>
      <c r="I373" s="139">
        <v>0</v>
      </c>
      <c r="J373" s="139">
        <v>0</v>
      </c>
      <c r="K373" s="139">
        <v>0</v>
      </c>
      <c r="L373" s="139">
        <f t="shared" si="45"/>
        <v>0</v>
      </c>
      <c r="M373" s="140">
        <f t="shared" si="46"/>
        <v>0</v>
      </c>
      <c r="N373" s="21">
        <f>INDEX('CHIRP Payment Calc'!AM:AM,MATCH(F:F,'CHIRP Payment Calc'!C:C,0))</f>
        <v>0.49</v>
      </c>
      <c r="O373" s="141">
        <f>INDEX('CHIRP Payment Calc'!AL:AL,MATCH(F:F,'CHIRP Payment Calc'!C:C,0))</f>
        <v>0.74</v>
      </c>
      <c r="P373" s="138">
        <f t="shared" si="47"/>
        <v>0</v>
      </c>
      <c r="Q373" s="139">
        <f t="shared" si="48"/>
        <v>0</v>
      </c>
      <c r="R373" s="139">
        <f t="shared" si="49"/>
        <v>0</v>
      </c>
      <c r="S373" s="139">
        <f t="shared" si="50"/>
        <v>0</v>
      </c>
      <c r="T373" s="139">
        <f t="shared" si="51"/>
        <v>0</v>
      </c>
      <c r="U373" s="139">
        <f t="shared" si="52"/>
        <v>0</v>
      </c>
      <c r="V373" s="140">
        <f t="shared" si="53"/>
        <v>0</v>
      </c>
    </row>
    <row r="374" spans="4:22">
      <c r="D374" s="9" t="s">
        <v>1365</v>
      </c>
      <c r="E374" s="9" t="s">
        <v>2279</v>
      </c>
      <c r="F374" s="4" t="s">
        <v>1423</v>
      </c>
      <c r="G374" s="9" t="s">
        <v>2631</v>
      </c>
      <c r="H374" s="138">
        <v>0</v>
      </c>
      <c r="I374" s="139">
        <v>0</v>
      </c>
      <c r="J374" s="139">
        <v>0</v>
      </c>
      <c r="K374" s="139">
        <v>0</v>
      </c>
      <c r="L374" s="139">
        <f t="shared" si="45"/>
        <v>0</v>
      </c>
      <c r="M374" s="140">
        <f t="shared" si="46"/>
        <v>0</v>
      </c>
      <c r="N374" s="21">
        <f>INDEX('CHIRP Payment Calc'!AM:AM,MATCH(F:F,'CHIRP Payment Calc'!C:C,0))</f>
        <v>0.49</v>
      </c>
      <c r="O374" s="141">
        <f>INDEX('CHIRP Payment Calc'!AL:AL,MATCH(F:F,'CHIRP Payment Calc'!C:C,0))</f>
        <v>0.74</v>
      </c>
      <c r="P374" s="138">
        <f t="shared" si="47"/>
        <v>0</v>
      </c>
      <c r="Q374" s="139">
        <f t="shared" si="48"/>
        <v>0</v>
      </c>
      <c r="R374" s="139">
        <f t="shared" si="49"/>
        <v>0</v>
      </c>
      <c r="S374" s="139">
        <f t="shared" si="50"/>
        <v>0</v>
      </c>
      <c r="T374" s="139">
        <f t="shared" si="51"/>
        <v>0</v>
      </c>
      <c r="U374" s="139">
        <f t="shared" si="52"/>
        <v>0</v>
      </c>
      <c r="V374" s="140">
        <f t="shared" si="53"/>
        <v>0</v>
      </c>
    </row>
    <row r="375" spans="4:22">
      <c r="D375" s="9" t="s">
        <v>1365</v>
      </c>
      <c r="E375" s="9" t="s">
        <v>2279</v>
      </c>
      <c r="F375" s="4" t="s">
        <v>1363</v>
      </c>
      <c r="G375" s="9" t="s">
        <v>2833</v>
      </c>
      <c r="H375" s="138">
        <v>7053.4379680473066</v>
      </c>
      <c r="I375" s="139">
        <v>0</v>
      </c>
      <c r="J375" s="139">
        <v>41402.741301489281</v>
      </c>
      <c r="K375" s="139">
        <v>0</v>
      </c>
      <c r="L375" s="139">
        <f t="shared" si="45"/>
        <v>48456.179269536588</v>
      </c>
      <c r="M375" s="140">
        <f t="shared" si="46"/>
        <v>0</v>
      </c>
      <c r="N375" s="21">
        <f>INDEX('CHIRP Payment Calc'!AM:AM,MATCH(F:F,'CHIRP Payment Calc'!C:C,0))</f>
        <v>0.49</v>
      </c>
      <c r="O375" s="141">
        <f>INDEX('CHIRP Payment Calc'!AL:AL,MATCH(F:F,'CHIRP Payment Calc'!C:C,0))</f>
        <v>0.74</v>
      </c>
      <c r="P375" s="138">
        <f t="shared" si="47"/>
        <v>23743.527842072926</v>
      </c>
      <c r="Q375" s="139">
        <f t="shared" si="48"/>
        <v>1505.791566068476</v>
      </c>
      <c r="R375" s="139">
        <f t="shared" si="49"/>
        <v>3667.0393680033744</v>
      </c>
      <c r="S375" s="139">
        <f t="shared" si="50"/>
        <v>21582.28004013803</v>
      </c>
      <c r="T375" s="139">
        <f t="shared" si="51"/>
        <v>0</v>
      </c>
      <c r="U375" s="139">
        <f t="shared" si="52"/>
        <v>0</v>
      </c>
      <c r="V375" s="140">
        <f t="shared" si="53"/>
        <v>25249.319408141404</v>
      </c>
    </row>
    <row r="376" spans="4:22">
      <c r="D376" s="9" t="s">
        <v>1365</v>
      </c>
      <c r="E376" s="9" t="s">
        <v>2279</v>
      </c>
      <c r="F376" s="4" t="s">
        <v>930</v>
      </c>
      <c r="G376" s="9" t="s">
        <v>2416</v>
      </c>
      <c r="H376" s="138">
        <v>1081910.0499434706</v>
      </c>
      <c r="I376" s="139">
        <v>1549510.5062576029</v>
      </c>
      <c r="J376" s="139">
        <v>159367.18742494046</v>
      </c>
      <c r="K376" s="139">
        <v>709841.75442048337</v>
      </c>
      <c r="L376" s="139">
        <f t="shared" si="45"/>
        <v>1241277.2373684112</v>
      </c>
      <c r="M376" s="140">
        <f t="shared" si="46"/>
        <v>2259352.2606780864</v>
      </c>
      <c r="N376" s="21">
        <f>INDEX('CHIRP Payment Calc'!AM:AM,MATCH(F:F,'CHIRP Payment Calc'!C:C,0))</f>
        <v>0.91999999999999993</v>
      </c>
      <c r="O376" s="141">
        <f>INDEX('CHIRP Payment Calc'!AL:AL,MATCH(F:F,'CHIRP Payment Calc'!C:C,0))</f>
        <v>1.28</v>
      </c>
      <c r="P376" s="138">
        <f t="shared" si="47"/>
        <v>4033945.9520468889</v>
      </c>
      <c r="Q376" s="139">
        <f t="shared" si="48"/>
        <v>249080.44116864074</v>
      </c>
      <c r="R376" s="139">
        <f t="shared" si="49"/>
        <v>1056081.9585655099</v>
      </c>
      <c r="S376" s="139">
        <f t="shared" si="50"/>
        <v>155976.39620313322</v>
      </c>
      <c r="T376" s="139">
        <f t="shared" si="51"/>
        <v>2104375.0111509091</v>
      </c>
      <c r="U376" s="139">
        <f t="shared" si="52"/>
        <v>966593.02729597746</v>
      </c>
      <c r="V376" s="140">
        <f t="shared" si="53"/>
        <v>4283026.3932155296</v>
      </c>
    </row>
    <row r="377" spans="4:22">
      <c r="D377" s="9" t="s">
        <v>1365</v>
      </c>
      <c r="E377" s="9" t="s">
        <v>2279</v>
      </c>
      <c r="F377" s="4" t="s">
        <v>144</v>
      </c>
      <c r="G377" s="9" t="s">
        <v>2623</v>
      </c>
      <c r="H377" s="138">
        <v>725560.11429874448</v>
      </c>
      <c r="I377" s="139">
        <v>2266895.346300358</v>
      </c>
      <c r="J377" s="139">
        <v>132806.20487066213</v>
      </c>
      <c r="K377" s="139">
        <v>112812.62328156893</v>
      </c>
      <c r="L377" s="139">
        <f t="shared" si="45"/>
        <v>858366.31916940655</v>
      </c>
      <c r="M377" s="140">
        <f t="shared" si="46"/>
        <v>2379707.9695819267</v>
      </c>
      <c r="N377" s="21">
        <f>INDEX('CHIRP Payment Calc'!AM:AM,MATCH(F:F,'CHIRP Payment Calc'!C:C,0))</f>
        <v>0.76</v>
      </c>
      <c r="O377" s="141">
        <f>INDEX('CHIRP Payment Calc'!AL:AL,MATCH(F:F,'CHIRP Payment Calc'!C:C,0))</f>
        <v>1.85</v>
      </c>
      <c r="P377" s="138">
        <f t="shared" si="47"/>
        <v>5054818.1462953137</v>
      </c>
      <c r="Q377" s="139">
        <f t="shared" si="48"/>
        <v>309257.87118820846</v>
      </c>
      <c r="R377" s="139">
        <f t="shared" si="49"/>
        <v>585067.0417687489</v>
      </c>
      <c r="S377" s="139">
        <f t="shared" si="50"/>
        <v>107375.22946989704</v>
      </c>
      <c r="T377" s="139">
        <f t="shared" si="51"/>
        <v>4449608.9025524268</v>
      </c>
      <c r="U377" s="139">
        <f t="shared" si="52"/>
        <v>222024.84369244953</v>
      </c>
      <c r="V377" s="140">
        <f t="shared" si="53"/>
        <v>5364076.0174835222</v>
      </c>
    </row>
    <row r="378" spans="4:22">
      <c r="D378" s="9" t="s">
        <v>1365</v>
      </c>
      <c r="E378" s="9" t="s">
        <v>2279</v>
      </c>
      <c r="F378" s="4" t="s">
        <v>918</v>
      </c>
      <c r="G378" s="9" t="s">
        <v>2815</v>
      </c>
      <c r="H378" s="138">
        <v>16001202.850065198</v>
      </c>
      <c r="I378" s="139">
        <v>18307730.434051156</v>
      </c>
      <c r="J378" s="139">
        <v>11472704.772361768</v>
      </c>
      <c r="K378" s="139">
        <v>13966894.810934702</v>
      </c>
      <c r="L378" s="139">
        <f t="shared" si="45"/>
        <v>27473907.622426964</v>
      </c>
      <c r="M378" s="140">
        <f t="shared" si="46"/>
        <v>32274625.244985856</v>
      </c>
      <c r="N378" s="21">
        <f>INDEX('CHIRP Payment Calc'!AM:AM,MATCH(F:F,'CHIRP Payment Calc'!C:C,0))</f>
        <v>0.53</v>
      </c>
      <c r="O378" s="141">
        <f>INDEX('CHIRP Payment Calc'!AL:AL,MATCH(F:F,'CHIRP Payment Calc'!C:C,0))</f>
        <v>1.1499999999999999</v>
      </c>
      <c r="P378" s="138">
        <f t="shared" si="47"/>
        <v>51676990.071620017</v>
      </c>
      <c r="Q378" s="139">
        <f t="shared" si="48"/>
        <v>3215189.8750221557</v>
      </c>
      <c r="R378" s="139">
        <f t="shared" si="49"/>
        <v>8998023.8838562928</v>
      </c>
      <c r="S378" s="139">
        <f t="shared" si="50"/>
        <v>6468652.6907997215</v>
      </c>
      <c r="T378" s="139">
        <f t="shared" si="51"/>
        <v>22338344.826693714</v>
      </c>
      <c r="U378" s="139">
        <f t="shared" si="52"/>
        <v>17087158.545292452</v>
      </c>
      <c r="V378" s="140">
        <f t="shared" si="53"/>
        <v>54892179.946642175</v>
      </c>
    </row>
    <row r="379" spans="4:22">
      <c r="D379" s="9" t="s">
        <v>1202</v>
      </c>
      <c r="E379" s="9" t="s">
        <v>1547</v>
      </c>
      <c r="F379" s="4" t="s">
        <v>393</v>
      </c>
      <c r="G379" s="9" t="s">
        <v>2452</v>
      </c>
      <c r="H379" s="138">
        <v>19699346.846761648</v>
      </c>
      <c r="I379" s="139">
        <v>61802684.818172097</v>
      </c>
      <c r="J379" s="139">
        <v>143765.84982300966</v>
      </c>
      <c r="K379" s="139">
        <v>922657.48434998817</v>
      </c>
      <c r="L379" s="139">
        <f t="shared" si="45"/>
        <v>19843112.696584657</v>
      </c>
      <c r="M379" s="140">
        <f t="shared" si="46"/>
        <v>62725342.302522086</v>
      </c>
      <c r="N379" s="21">
        <f>INDEX('CHIRP Payment Calc'!AM:AM,MATCH(F:F,'CHIRP Payment Calc'!C:C,0))</f>
        <v>1.4900000000000002</v>
      </c>
      <c r="O379" s="141">
        <f>INDEX('CHIRP Payment Calc'!AL:AL,MATCH(F:F,'CHIRP Payment Calc'!C:C,0))</f>
        <v>1.47</v>
      </c>
      <c r="P379" s="138">
        <f t="shared" si="47"/>
        <v>121772491.1026186</v>
      </c>
      <c r="Q379" s="139">
        <f t="shared" si="48"/>
        <v>7433522.7023445033</v>
      </c>
      <c r="R379" s="139">
        <f t="shared" si="49"/>
        <v>31142734.007082079</v>
      </c>
      <c r="S379" s="139">
        <f t="shared" si="50"/>
        <v>227884.16620881323</v>
      </c>
      <c r="T379" s="139">
        <f t="shared" si="51"/>
        <v>96392516.374231279</v>
      </c>
      <c r="U379" s="139">
        <f t="shared" si="52"/>
        <v>1442879.2574409388</v>
      </c>
      <c r="V379" s="140">
        <f t="shared" si="53"/>
        <v>129206013.80496311</v>
      </c>
    </row>
    <row r="380" spans="4:22">
      <c r="D380" s="9" t="s">
        <v>1202</v>
      </c>
      <c r="E380" s="9" t="s">
        <v>2529</v>
      </c>
      <c r="F380" s="4" t="s">
        <v>1213</v>
      </c>
      <c r="G380" s="9" t="s">
        <v>3004</v>
      </c>
      <c r="H380" s="138">
        <v>0</v>
      </c>
      <c r="I380" s="139">
        <v>1353451.2219585024</v>
      </c>
      <c r="J380" s="139">
        <v>0</v>
      </c>
      <c r="K380" s="139">
        <v>0</v>
      </c>
      <c r="L380" s="139">
        <f t="shared" si="45"/>
        <v>0</v>
      </c>
      <c r="M380" s="140">
        <f t="shared" si="46"/>
        <v>1353451.2219585024</v>
      </c>
      <c r="N380" s="21">
        <f>INDEX('CHIRP Payment Calc'!AM:AM,MATCH(F:F,'CHIRP Payment Calc'!C:C,0))</f>
        <v>0</v>
      </c>
      <c r="O380" s="141">
        <f>INDEX('CHIRP Payment Calc'!AL:AL,MATCH(F:F,'CHIRP Payment Calc'!C:C,0))</f>
        <v>0.28000000000000003</v>
      </c>
      <c r="P380" s="138">
        <f t="shared" si="47"/>
        <v>378966.3421483807</v>
      </c>
      <c r="Q380" s="139">
        <f t="shared" si="48"/>
        <v>23119.962518336226</v>
      </c>
      <c r="R380" s="139">
        <f t="shared" si="49"/>
        <v>0</v>
      </c>
      <c r="S380" s="139">
        <f t="shared" si="50"/>
        <v>0</v>
      </c>
      <c r="T380" s="139">
        <f t="shared" si="51"/>
        <v>402086.30466671695</v>
      </c>
      <c r="U380" s="139">
        <f t="shared" si="52"/>
        <v>0</v>
      </c>
      <c r="V380" s="140">
        <f t="shared" si="53"/>
        <v>402086.30466671695</v>
      </c>
    </row>
    <row r="381" spans="4:22">
      <c r="D381" s="9" t="s">
        <v>1202</v>
      </c>
      <c r="E381" s="9" t="s">
        <v>2529</v>
      </c>
      <c r="F381" s="4" t="s">
        <v>1304</v>
      </c>
      <c r="G381" s="9" t="s">
        <v>2788</v>
      </c>
      <c r="H381" s="138">
        <v>0</v>
      </c>
      <c r="I381" s="139">
        <v>85735.620925097857</v>
      </c>
      <c r="J381" s="139">
        <v>0</v>
      </c>
      <c r="K381" s="139">
        <v>0</v>
      </c>
      <c r="L381" s="139">
        <f t="shared" si="45"/>
        <v>0</v>
      </c>
      <c r="M381" s="140">
        <f t="shared" si="46"/>
        <v>85735.620925097857</v>
      </c>
      <c r="N381" s="21">
        <f>INDEX('CHIRP Payment Calc'!AM:AM,MATCH(F:F,'CHIRP Payment Calc'!C:C,0))</f>
        <v>0</v>
      </c>
      <c r="O381" s="141">
        <f>INDEX('CHIRP Payment Calc'!AL:AL,MATCH(F:F,'CHIRP Payment Calc'!C:C,0))</f>
        <v>0.28000000000000003</v>
      </c>
      <c r="P381" s="138">
        <f t="shared" si="47"/>
        <v>24005.973859027403</v>
      </c>
      <c r="Q381" s="139">
        <f t="shared" si="48"/>
        <v>1464.555434370372</v>
      </c>
      <c r="R381" s="139">
        <f t="shared" si="49"/>
        <v>0</v>
      </c>
      <c r="S381" s="139">
        <f t="shared" si="50"/>
        <v>0</v>
      </c>
      <c r="T381" s="139">
        <f t="shared" si="51"/>
        <v>25470.529293397773</v>
      </c>
      <c r="U381" s="139">
        <f t="shared" si="52"/>
        <v>0</v>
      </c>
      <c r="V381" s="140">
        <f t="shared" si="53"/>
        <v>25470.529293397773</v>
      </c>
    </row>
    <row r="382" spans="4:22">
      <c r="D382" s="9" t="s">
        <v>1202</v>
      </c>
      <c r="E382" s="9" t="s">
        <v>2529</v>
      </c>
      <c r="F382" s="4" t="s">
        <v>1245</v>
      </c>
      <c r="G382" s="9" t="s">
        <v>2721</v>
      </c>
      <c r="H382" s="138">
        <v>0</v>
      </c>
      <c r="I382" s="139">
        <v>1441974.3611301454</v>
      </c>
      <c r="J382" s="139">
        <v>0</v>
      </c>
      <c r="K382" s="139">
        <v>0</v>
      </c>
      <c r="L382" s="139">
        <f t="shared" si="45"/>
        <v>0</v>
      </c>
      <c r="M382" s="140">
        <f t="shared" si="46"/>
        <v>1441974.3611301454</v>
      </c>
      <c r="N382" s="21">
        <f>INDEX('CHIRP Payment Calc'!AM:AM,MATCH(F:F,'CHIRP Payment Calc'!C:C,0))</f>
        <v>0</v>
      </c>
      <c r="O382" s="141">
        <f>INDEX('CHIRP Payment Calc'!AL:AL,MATCH(F:F,'CHIRP Payment Calc'!C:C,0))</f>
        <v>0.28000000000000003</v>
      </c>
      <c r="P382" s="138">
        <f t="shared" si="47"/>
        <v>403752.82111644075</v>
      </c>
      <c r="Q382" s="139">
        <f t="shared" si="48"/>
        <v>24632.134975273573</v>
      </c>
      <c r="R382" s="139">
        <f t="shared" si="49"/>
        <v>0</v>
      </c>
      <c r="S382" s="139">
        <f t="shared" si="50"/>
        <v>0</v>
      </c>
      <c r="T382" s="139">
        <f t="shared" si="51"/>
        <v>428384.95609171432</v>
      </c>
      <c r="U382" s="139">
        <f t="shared" si="52"/>
        <v>0</v>
      </c>
      <c r="V382" s="140">
        <f t="shared" si="53"/>
        <v>428384.95609171432</v>
      </c>
    </row>
    <row r="383" spans="4:22">
      <c r="D383" s="9" t="s">
        <v>1202</v>
      </c>
      <c r="E383" s="9" t="s">
        <v>2529</v>
      </c>
      <c r="F383" s="4" t="s">
        <v>1310</v>
      </c>
      <c r="G383" s="9" t="s">
        <v>2449</v>
      </c>
      <c r="H383" s="138">
        <v>0</v>
      </c>
      <c r="I383" s="139">
        <v>74958.308248659916</v>
      </c>
      <c r="J383" s="139">
        <v>0</v>
      </c>
      <c r="K383" s="139">
        <v>0</v>
      </c>
      <c r="L383" s="139">
        <f t="shared" si="45"/>
        <v>0</v>
      </c>
      <c r="M383" s="140">
        <f t="shared" si="46"/>
        <v>74958.308248659916</v>
      </c>
      <c r="N383" s="21">
        <f>INDEX('CHIRP Payment Calc'!AM:AM,MATCH(F:F,'CHIRP Payment Calc'!C:C,0))</f>
        <v>0</v>
      </c>
      <c r="O383" s="141">
        <f>INDEX('CHIRP Payment Calc'!AL:AL,MATCH(F:F,'CHIRP Payment Calc'!C:C,0))</f>
        <v>0.28000000000000003</v>
      </c>
      <c r="P383" s="138">
        <f t="shared" si="47"/>
        <v>20988.326309624779</v>
      </c>
      <c r="Q383" s="139">
        <f t="shared" si="48"/>
        <v>1280.4549207463394</v>
      </c>
      <c r="R383" s="139">
        <f t="shared" si="49"/>
        <v>0</v>
      </c>
      <c r="S383" s="139">
        <f t="shared" si="50"/>
        <v>0</v>
      </c>
      <c r="T383" s="139">
        <f t="shared" si="51"/>
        <v>22268.781230371118</v>
      </c>
      <c r="U383" s="139">
        <f t="shared" si="52"/>
        <v>0</v>
      </c>
      <c r="V383" s="140">
        <f t="shared" si="53"/>
        <v>22268.781230371118</v>
      </c>
    </row>
    <row r="384" spans="4:22">
      <c r="D384" s="9" t="s">
        <v>1202</v>
      </c>
      <c r="E384" s="9" t="s">
        <v>2529</v>
      </c>
      <c r="F384" s="4" t="s">
        <v>1343</v>
      </c>
      <c r="G384" s="9" t="s">
        <v>2831</v>
      </c>
      <c r="H384" s="138">
        <v>0</v>
      </c>
      <c r="I384" s="139">
        <v>2073220.8295724646</v>
      </c>
      <c r="J384" s="139">
        <v>0</v>
      </c>
      <c r="K384" s="139">
        <v>0</v>
      </c>
      <c r="L384" s="139">
        <f t="shared" si="45"/>
        <v>0</v>
      </c>
      <c r="M384" s="140">
        <f t="shared" si="46"/>
        <v>2073220.8295724646</v>
      </c>
      <c r="N384" s="21">
        <f>INDEX('CHIRP Payment Calc'!AM:AM,MATCH(F:F,'CHIRP Payment Calc'!C:C,0))</f>
        <v>0</v>
      </c>
      <c r="O384" s="141">
        <f>INDEX('CHIRP Payment Calc'!AL:AL,MATCH(F:F,'CHIRP Payment Calc'!C:C,0))</f>
        <v>0.28000000000000003</v>
      </c>
      <c r="P384" s="138">
        <f t="shared" si="47"/>
        <v>580501.83228029008</v>
      </c>
      <c r="Q384" s="139">
        <f t="shared" si="48"/>
        <v>35415.231147073406</v>
      </c>
      <c r="R384" s="139">
        <f t="shared" si="49"/>
        <v>0</v>
      </c>
      <c r="S384" s="139">
        <f t="shared" si="50"/>
        <v>0</v>
      </c>
      <c r="T384" s="139">
        <f t="shared" si="51"/>
        <v>615917.06342736352</v>
      </c>
      <c r="U384" s="139">
        <f t="shared" si="52"/>
        <v>0</v>
      </c>
      <c r="V384" s="140">
        <f t="shared" si="53"/>
        <v>615917.06342736352</v>
      </c>
    </row>
    <row r="385" spans="4:22">
      <c r="D385" s="9" t="s">
        <v>1202</v>
      </c>
      <c r="E385" s="9" t="s">
        <v>2529</v>
      </c>
      <c r="F385" s="4" t="s">
        <v>1263</v>
      </c>
      <c r="G385" s="9" t="s">
        <v>2568</v>
      </c>
      <c r="H385" s="138">
        <v>0</v>
      </c>
      <c r="I385" s="139">
        <v>54696.249389048069</v>
      </c>
      <c r="J385" s="139">
        <v>0</v>
      </c>
      <c r="K385" s="139">
        <v>0</v>
      </c>
      <c r="L385" s="139">
        <f t="shared" si="45"/>
        <v>0</v>
      </c>
      <c r="M385" s="140">
        <f t="shared" si="46"/>
        <v>54696.249389048069</v>
      </c>
      <c r="N385" s="21">
        <f>INDEX('CHIRP Payment Calc'!AM:AM,MATCH(F:F,'CHIRP Payment Calc'!C:C,0))</f>
        <v>0</v>
      </c>
      <c r="O385" s="141">
        <f>INDEX('CHIRP Payment Calc'!AL:AL,MATCH(F:F,'CHIRP Payment Calc'!C:C,0))</f>
        <v>0.28000000000000003</v>
      </c>
      <c r="P385" s="138">
        <f t="shared" si="47"/>
        <v>15314.949828933461</v>
      </c>
      <c r="Q385" s="139">
        <f t="shared" si="48"/>
        <v>934.33380919222702</v>
      </c>
      <c r="R385" s="139">
        <f t="shared" si="49"/>
        <v>0</v>
      </c>
      <c r="S385" s="139">
        <f t="shared" si="50"/>
        <v>0</v>
      </c>
      <c r="T385" s="139">
        <f t="shared" si="51"/>
        <v>16249.283638125688</v>
      </c>
      <c r="U385" s="139">
        <f t="shared" si="52"/>
        <v>0</v>
      </c>
      <c r="V385" s="140">
        <f t="shared" si="53"/>
        <v>16249.283638125688</v>
      </c>
    </row>
    <row r="386" spans="4:22">
      <c r="D386" s="9" t="s">
        <v>1202</v>
      </c>
      <c r="E386" s="9" t="s">
        <v>2291</v>
      </c>
      <c r="F386" s="4" t="s">
        <v>1026</v>
      </c>
      <c r="G386" s="9" t="s">
        <v>2448</v>
      </c>
      <c r="H386" s="138">
        <v>146.71174635840794</v>
      </c>
      <c r="I386" s="139">
        <v>575639.7316802264</v>
      </c>
      <c r="J386" s="139">
        <v>950.15327263594054</v>
      </c>
      <c r="K386" s="139">
        <v>469546.30329508381</v>
      </c>
      <c r="L386" s="139">
        <f t="shared" si="45"/>
        <v>1096.8650189943485</v>
      </c>
      <c r="M386" s="140">
        <f t="shared" si="46"/>
        <v>1045186.0349753102</v>
      </c>
      <c r="N386" s="21">
        <f>INDEX('CHIRP Payment Calc'!AM:AM,MATCH(F:F,'CHIRP Payment Calc'!C:C,0))</f>
        <v>0.2</v>
      </c>
      <c r="O386" s="141">
        <f>INDEX('CHIRP Payment Calc'!AL:AL,MATCH(F:F,'CHIRP Payment Calc'!C:C,0))</f>
        <v>0.26</v>
      </c>
      <c r="P386" s="138">
        <f t="shared" si="47"/>
        <v>271967.74209737952</v>
      </c>
      <c r="Q386" s="139">
        <f t="shared" si="48"/>
        <v>16937.227421571744</v>
      </c>
      <c r="R386" s="139">
        <f t="shared" si="49"/>
        <v>31.132466070749697</v>
      </c>
      <c r="S386" s="139">
        <f t="shared" si="50"/>
        <v>202.1602707736044</v>
      </c>
      <c r="T386" s="139">
        <f t="shared" si="51"/>
        <v>158797.16736006245</v>
      </c>
      <c r="U386" s="139">
        <f t="shared" si="52"/>
        <v>129874.50942204447</v>
      </c>
      <c r="V386" s="140">
        <f t="shared" si="53"/>
        <v>288904.96951895126</v>
      </c>
    </row>
    <row r="387" spans="4:22">
      <c r="D387" s="9" t="s">
        <v>1202</v>
      </c>
      <c r="E387" s="9" t="s">
        <v>2291</v>
      </c>
      <c r="F387" s="4" t="s">
        <v>1020</v>
      </c>
      <c r="G387" s="9" t="s">
        <v>2676</v>
      </c>
      <c r="H387" s="138">
        <v>0</v>
      </c>
      <c r="I387" s="139">
        <v>896285.83436710737</v>
      </c>
      <c r="J387" s="139">
        <v>3026.736539238058</v>
      </c>
      <c r="K387" s="139">
        <v>255658.15238913751</v>
      </c>
      <c r="L387" s="139">
        <f t="shared" si="45"/>
        <v>3026.736539238058</v>
      </c>
      <c r="M387" s="140">
        <f t="shared" si="46"/>
        <v>1151943.9867562449</v>
      </c>
      <c r="N387" s="21">
        <f>INDEX('CHIRP Payment Calc'!AM:AM,MATCH(F:F,'CHIRP Payment Calc'!C:C,0))</f>
        <v>1.74</v>
      </c>
      <c r="O387" s="141">
        <f>INDEX('CHIRP Payment Calc'!AL:AL,MATCH(F:F,'CHIRP Payment Calc'!C:C,0))</f>
        <v>0.41</v>
      </c>
      <c r="P387" s="138">
        <f t="shared" si="47"/>
        <v>477563.55614833458</v>
      </c>
      <c r="Q387" s="139">
        <f t="shared" si="48"/>
        <v>29445.822134389116</v>
      </c>
      <c r="R387" s="139">
        <f t="shared" si="49"/>
        <v>0</v>
      </c>
      <c r="S387" s="139">
        <f t="shared" si="50"/>
        <v>5602.6825300789587</v>
      </c>
      <c r="T387" s="139">
        <f t="shared" si="51"/>
        <v>389896.22502972308</v>
      </c>
      <c r="U387" s="139">
        <f t="shared" si="52"/>
        <v>111510.47072292167</v>
      </c>
      <c r="V387" s="140">
        <f t="shared" si="53"/>
        <v>507009.37828272372</v>
      </c>
    </row>
    <row r="388" spans="4:22">
      <c r="D388" s="9" t="s">
        <v>1202</v>
      </c>
      <c r="E388" s="9" t="s">
        <v>2291</v>
      </c>
      <c r="F388" s="4" t="s">
        <v>375</v>
      </c>
      <c r="G388" s="9" t="s">
        <v>2851</v>
      </c>
      <c r="H388" s="138">
        <v>2219600.0781862517</v>
      </c>
      <c r="I388" s="139">
        <v>2423689.9226139686</v>
      </c>
      <c r="J388" s="139">
        <v>977032.39996879513</v>
      </c>
      <c r="K388" s="139">
        <v>577804.43164051382</v>
      </c>
      <c r="L388" s="139">
        <f t="shared" si="45"/>
        <v>3196632.4781550467</v>
      </c>
      <c r="M388" s="140">
        <f t="shared" si="46"/>
        <v>3001494.3542544823</v>
      </c>
      <c r="N388" s="21">
        <f>INDEX('CHIRP Payment Calc'!AM:AM,MATCH(F:F,'CHIRP Payment Calc'!C:C,0))</f>
        <v>0.26</v>
      </c>
      <c r="O388" s="141">
        <f>INDEX('CHIRP Payment Calc'!AL:AL,MATCH(F:F,'CHIRP Payment Calc'!C:C,0))</f>
        <v>0.22</v>
      </c>
      <c r="P388" s="138">
        <f t="shared" si="47"/>
        <v>1491453.2022562982</v>
      </c>
      <c r="Q388" s="139">
        <f t="shared" si="48"/>
        <v>92066.041062514734</v>
      </c>
      <c r="R388" s="139">
        <f t="shared" si="49"/>
        <v>612303.46984448319</v>
      </c>
      <c r="S388" s="139">
        <f t="shared" si="50"/>
        <v>270243.00424668804</v>
      </c>
      <c r="T388" s="139">
        <f t="shared" si="51"/>
        <v>565741.9448011386</v>
      </c>
      <c r="U388" s="139">
        <f t="shared" si="52"/>
        <v>135230.82442650324</v>
      </c>
      <c r="V388" s="140">
        <f t="shared" si="53"/>
        <v>1583519.2433188132</v>
      </c>
    </row>
    <row r="389" spans="4:22">
      <c r="D389" s="9" t="s">
        <v>1202</v>
      </c>
      <c r="E389" s="9" t="s">
        <v>2291</v>
      </c>
      <c r="F389" s="4" t="s">
        <v>423</v>
      </c>
      <c r="G389" s="9" t="s">
        <v>2438</v>
      </c>
      <c r="H389" s="138">
        <v>337676.49817782553</v>
      </c>
      <c r="I389" s="139">
        <v>125794.50303904625</v>
      </c>
      <c r="J389" s="139">
        <v>248258.19612239738</v>
      </c>
      <c r="K389" s="139">
        <v>215263.98805801233</v>
      </c>
      <c r="L389" s="139">
        <f t="shared" ref="L389:L411" si="54">H389+J389</f>
        <v>585934.69430022291</v>
      </c>
      <c r="M389" s="140">
        <f t="shared" ref="M389:M411" si="55">I389+K389</f>
        <v>341058.49109705858</v>
      </c>
      <c r="N389" s="21">
        <f>INDEX('CHIRP Payment Calc'!AM:AM,MATCH(F:F,'CHIRP Payment Calc'!C:C,0))</f>
        <v>0.43000000000000005</v>
      </c>
      <c r="O389" s="141">
        <f>INDEX('CHIRP Payment Calc'!AL:AL,MATCH(F:F,'CHIRP Payment Calc'!C:C,0))</f>
        <v>0.04</v>
      </c>
      <c r="P389" s="138">
        <f t="shared" ref="P389:P411" si="56">(L389*N389)+(M389*O389)</f>
        <v>265594.25819297822</v>
      </c>
      <c r="Q389" s="139">
        <f t="shared" ref="Q389:Q411" si="57">(R389+T389)*$B$10+(S389+U389)*$B$11</f>
        <v>16528.89397253553</v>
      </c>
      <c r="R389" s="139">
        <f t="shared" ref="R389:R411" si="58">H389/(1-$B$10)*N389</f>
        <v>154059.30420845092</v>
      </c>
      <c r="S389" s="139">
        <f t="shared" ref="S389:S411" si="59">J389/(1-$B$11)*N389</f>
        <v>113564.91950279882</v>
      </c>
      <c r="T389" s="139">
        <f t="shared" ref="T389:T411" si="60">I389/(1-$B$10)*O389</f>
        <v>5338.7587496677452</v>
      </c>
      <c r="U389" s="139">
        <f t="shared" ref="U389:U411" si="61">K389/(1-$B$11)*O389</f>
        <v>9160.1697045962701</v>
      </c>
      <c r="V389" s="140">
        <f t="shared" ref="V389:V411" si="62">SUM(R389:U389)</f>
        <v>282123.15216551378</v>
      </c>
    </row>
    <row r="390" spans="4:22">
      <c r="D390" s="9" t="s">
        <v>1202</v>
      </c>
      <c r="E390" s="9" t="s">
        <v>2291</v>
      </c>
      <c r="F390" s="4" t="s">
        <v>1008</v>
      </c>
      <c r="G390" s="9" t="s">
        <v>2555</v>
      </c>
      <c r="H390" s="138">
        <v>562779.02830258349</v>
      </c>
      <c r="I390" s="139">
        <v>49180.367593909963</v>
      </c>
      <c r="J390" s="139">
        <v>193050.4823698726</v>
      </c>
      <c r="K390" s="139">
        <v>31717.658555505506</v>
      </c>
      <c r="L390" s="139">
        <f t="shared" si="54"/>
        <v>755829.51067245612</v>
      </c>
      <c r="M390" s="140">
        <f t="shared" si="55"/>
        <v>80898.026149415469</v>
      </c>
      <c r="N390" s="21">
        <f>INDEX('CHIRP Payment Calc'!AM:AM,MATCH(F:F,'CHIRP Payment Calc'!C:C,0))</f>
        <v>0.30000000000000004</v>
      </c>
      <c r="O390" s="141">
        <f>INDEX('CHIRP Payment Calc'!AL:AL,MATCH(F:F,'CHIRP Payment Calc'!C:C,0))</f>
        <v>0.56000000000000005</v>
      </c>
      <c r="P390" s="138">
        <f t="shared" si="56"/>
        <v>272051.74784540955</v>
      </c>
      <c r="Q390" s="139">
        <f t="shared" si="57"/>
        <v>16810.869185393643</v>
      </c>
      <c r="R390" s="139">
        <f t="shared" si="58"/>
        <v>179133.90821302394</v>
      </c>
      <c r="S390" s="139">
        <f t="shared" si="59"/>
        <v>61611.856075491269</v>
      </c>
      <c r="T390" s="139">
        <f t="shared" si="60"/>
        <v>29221.226368795313</v>
      </c>
      <c r="U390" s="139">
        <f t="shared" si="61"/>
        <v>18895.626373492643</v>
      </c>
      <c r="V390" s="140">
        <f t="shared" si="62"/>
        <v>288862.61703080317</v>
      </c>
    </row>
    <row r="391" spans="4:22">
      <c r="D391" s="9" t="s">
        <v>1202</v>
      </c>
      <c r="E391" s="9" t="s">
        <v>2950</v>
      </c>
      <c r="F391" s="4" t="s">
        <v>2302</v>
      </c>
      <c r="G391" s="9" t="s">
        <v>2684</v>
      </c>
      <c r="H391" s="138">
        <v>0</v>
      </c>
      <c r="I391" s="139">
        <v>141965.57315246359</v>
      </c>
      <c r="J391" s="139">
        <v>0</v>
      </c>
      <c r="K391" s="139">
        <v>0</v>
      </c>
      <c r="L391" s="139">
        <f t="shared" si="54"/>
        <v>0</v>
      </c>
      <c r="M391" s="140">
        <f t="shared" si="55"/>
        <v>141965.57315246359</v>
      </c>
      <c r="N391" s="21">
        <f>INDEX('CHIRP Payment Calc'!AM:AM,MATCH(F:F,'CHIRP Payment Calc'!C:C,0))</f>
        <v>0</v>
      </c>
      <c r="O391" s="141">
        <f>INDEX('CHIRP Payment Calc'!AL:AL,MATCH(F:F,'CHIRP Payment Calc'!C:C,0))</f>
        <v>2.4700000000000002</v>
      </c>
      <c r="P391" s="138">
        <f t="shared" si="56"/>
        <v>350654.96568658511</v>
      </c>
      <c r="Q391" s="139">
        <f t="shared" si="57"/>
        <v>21392.743264698824</v>
      </c>
      <c r="R391" s="139">
        <f t="shared" si="58"/>
        <v>0</v>
      </c>
      <c r="S391" s="139">
        <f t="shared" si="59"/>
        <v>0</v>
      </c>
      <c r="T391" s="139">
        <f t="shared" si="60"/>
        <v>372047.70895128389</v>
      </c>
      <c r="U391" s="139">
        <f t="shared" si="61"/>
        <v>0</v>
      </c>
      <c r="V391" s="140">
        <f t="shared" si="62"/>
        <v>372047.70895128389</v>
      </c>
    </row>
    <row r="392" spans="4:22">
      <c r="D392" s="9" t="s">
        <v>1202</v>
      </c>
      <c r="E392" s="9" t="s">
        <v>2279</v>
      </c>
      <c r="F392" s="4" t="s">
        <v>1023</v>
      </c>
      <c r="G392" s="9" t="s">
        <v>2455</v>
      </c>
      <c r="H392" s="138">
        <v>3328536.6443233271</v>
      </c>
      <c r="I392" s="139">
        <v>2422620.4375852305</v>
      </c>
      <c r="J392" s="139">
        <v>3512706.6777278539</v>
      </c>
      <c r="K392" s="139">
        <v>7549454.5578268403</v>
      </c>
      <c r="L392" s="139">
        <f t="shared" si="54"/>
        <v>6841243.3220511805</v>
      </c>
      <c r="M392" s="140">
        <f t="shared" si="55"/>
        <v>9972074.9954120703</v>
      </c>
      <c r="N392" s="21">
        <f>INDEX('CHIRP Payment Calc'!AM:AM,MATCH(F:F,'CHIRP Payment Calc'!C:C,0))</f>
        <v>0.94000000000000006</v>
      </c>
      <c r="O392" s="141">
        <f>INDEX('CHIRP Payment Calc'!AL:AL,MATCH(F:F,'CHIRP Payment Calc'!C:C,0))</f>
        <v>1.9100000000000001</v>
      </c>
      <c r="P392" s="138">
        <f t="shared" si="56"/>
        <v>25477431.963965166</v>
      </c>
      <c r="Q392" s="139">
        <f t="shared" si="57"/>
        <v>1604332.8673837136</v>
      </c>
      <c r="R392" s="139">
        <f t="shared" si="58"/>
        <v>3319707.6346566873</v>
      </c>
      <c r="S392" s="139">
        <f t="shared" si="59"/>
        <v>3512706.6777278543</v>
      </c>
      <c r="T392" s="139">
        <f t="shared" si="60"/>
        <v>4909501.364231077</v>
      </c>
      <c r="U392" s="139">
        <f t="shared" si="61"/>
        <v>15339849.154733263</v>
      </c>
      <c r="V392" s="140">
        <f t="shared" si="62"/>
        <v>27081764.831348881</v>
      </c>
    </row>
    <row r="393" spans="4:22">
      <c r="D393" s="9" t="s">
        <v>1202</v>
      </c>
      <c r="E393" s="9" t="s">
        <v>2279</v>
      </c>
      <c r="F393" s="4" t="s">
        <v>387</v>
      </c>
      <c r="G393" s="9" t="s">
        <v>2447</v>
      </c>
      <c r="H393" s="138">
        <v>1396239.4664984553</v>
      </c>
      <c r="I393" s="139">
        <v>3440881.9453262552</v>
      </c>
      <c r="J393" s="139">
        <v>378045.99775298586</v>
      </c>
      <c r="K393" s="139">
        <v>445329.34598604712</v>
      </c>
      <c r="L393" s="139">
        <f t="shared" si="54"/>
        <v>1774285.4642514412</v>
      </c>
      <c r="M393" s="140">
        <f t="shared" si="55"/>
        <v>3886211.2913123025</v>
      </c>
      <c r="N393" s="21">
        <f>INDEX('CHIRP Payment Calc'!AM:AM,MATCH(F:F,'CHIRP Payment Calc'!C:C,0))</f>
        <v>0.92</v>
      </c>
      <c r="O393" s="141">
        <f>INDEX('CHIRP Payment Calc'!AL:AL,MATCH(F:F,'CHIRP Payment Calc'!C:C,0))</f>
        <v>1.04</v>
      </c>
      <c r="P393" s="138">
        <f t="shared" si="56"/>
        <v>5674002.3700761208</v>
      </c>
      <c r="Q393" s="139">
        <f t="shared" si="57"/>
        <v>348447.64399459329</v>
      </c>
      <c r="R393" s="139">
        <f t="shared" si="58"/>
        <v>1362907.4898446461</v>
      </c>
      <c r="S393" s="139">
        <f t="shared" si="59"/>
        <v>370002.46588590107</v>
      </c>
      <c r="T393" s="139">
        <f t="shared" si="60"/>
        <v>3796835.2500151782</v>
      </c>
      <c r="U393" s="139">
        <f t="shared" si="61"/>
        <v>492704.80832498835</v>
      </c>
      <c r="V393" s="140">
        <f t="shared" si="62"/>
        <v>6022450.014070713</v>
      </c>
    </row>
    <row r="394" spans="4:22">
      <c r="D394" s="9" t="s">
        <v>1202</v>
      </c>
      <c r="E394" s="9" t="s">
        <v>2279</v>
      </c>
      <c r="F394" s="4" t="s">
        <v>2283</v>
      </c>
      <c r="G394" s="9" t="s">
        <v>2544</v>
      </c>
      <c r="H394" s="138">
        <v>53990.518596307564</v>
      </c>
      <c r="I394" s="139">
        <v>6718.1402324225655</v>
      </c>
      <c r="J394" s="139">
        <v>19454.618621915153</v>
      </c>
      <c r="K394" s="139">
        <v>62.478977056779172</v>
      </c>
      <c r="L394" s="139">
        <f t="shared" si="54"/>
        <v>73445.137218222721</v>
      </c>
      <c r="M394" s="140">
        <f t="shared" si="55"/>
        <v>6780.619209479345</v>
      </c>
      <c r="N394" s="21">
        <f>INDEX('CHIRP Payment Calc'!AM:AM,MATCH(F:F,'CHIRP Payment Calc'!C:C,0))</f>
        <v>0.92</v>
      </c>
      <c r="O394" s="141">
        <f>INDEX('CHIRP Payment Calc'!AL:AL,MATCH(F:F,'CHIRP Payment Calc'!C:C,0))</f>
        <v>0.35</v>
      </c>
      <c r="P394" s="138">
        <f t="shared" si="56"/>
        <v>69942.742964082674</v>
      </c>
      <c r="Q394" s="139">
        <f t="shared" si="57"/>
        <v>4317.6314116417389</v>
      </c>
      <c r="R394" s="139">
        <f t="shared" si="58"/>
        <v>52701.620274379806</v>
      </c>
      <c r="S394" s="139">
        <f t="shared" si="59"/>
        <v>19040.690566129724</v>
      </c>
      <c r="T394" s="139">
        <f t="shared" si="60"/>
        <v>2494.8000863107668</v>
      </c>
      <c r="U394" s="139">
        <f t="shared" si="61"/>
        <v>23.263448904119908</v>
      </c>
      <c r="V394" s="140">
        <f t="shared" si="62"/>
        <v>74260.374375724423</v>
      </c>
    </row>
    <row r="395" spans="4:22">
      <c r="D395" s="9" t="s">
        <v>1202</v>
      </c>
      <c r="E395" s="9" t="s">
        <v>2279</v>
      </c>
      <c r="F395" s="4" t="s">
        <v>1622</v>
      </c>
      <c r="G395" s="9" t="s">
        <v>2454</v>
      </c>
      <c r="H395" s="138">
        <v>404549.692659605</v>
      </c>
      <c r="I395" s="139">
        <v>19182.750877484064</v>
      </c>
      <c r="J395" s="139">
        <v>197309.50330409821</v>
      </c>
      <c r="K395" s="139">
        <v>28555.640138090745</v>
      </c>
      <c r="L395" s="139">
        <f t="shared" si="54"/>
        <v>601859.19596370321</v>
      </c>
      <c r="M395" s="140">
        <f t="shared" si="55"/>
        <v>47738.391015574809</v>
      </c>
      <c r="N395" s="21">
        <f>INDEX('CHIRP Payment Calc'!AM:AM,MATCH(F:F,'CHIRP Payment Calc'!C:C,0))</f>
        <v>0.92</v>
      </c>
      <c r="O395" s="141">
        <f>INDEX('CHIRP Payment Calc'!AL:AL,MATCH(F:F,'CHIRP Payment Calc'!C:C,0))</f>
        <v>1.26</v>
      </c>
      <c r="P395" s="138">
        <f t="shared" si="56"/>
        <v>613860.83296623128</v>
      </c>
      <c r="Q395" s="139">
        <f t="shared" si="57"/>
        <v>38064.157284112211</v>
      </c>
      <c r="R395" s="139">
        <f t="shared" si="58"/>
        <v>394892.00768895133</v>
      </c>
      <c r="S395" s="139">
        <f t="shared" si="59"/>
        <v>193111.42876571315</v>
      </c>
      <c r="T395" s="139">
        <f t="shared" si="60"/>
        <v>25644.844674408403</v>
      </c>
      <c r="U395" s="139">
        <f t="shared" si="61"/>
        <v>38276.709121270571</v>
      </c>
      <c r="V395" s="140">
        <f t="shared" si="62"/>
        <v>651924.99025034346</v>
      </c>
    </row>
    <row r="396" spans="4:22">
      <c r="D396" s="9" t="s">
        <v>1202</v>
      </c>
      <c r="E396" s="9" t="s">
        <v>2279</v>
      </c>
      <c r="F396" s="4" t="s">
        <v>1029</v>
      </c>
      <c r="G396" s="9" t="s">
        <v>2446</v>
      </c>
      <c r="H396" s="138">
        <v>2653966.067274773</v>
      </c>
      <c r="I396" s="139">
        <v>15437269.401457783</v>
      </c>
      <c r="J396" s="139">
        <v>904059.20066278067</v>
      </c>
      <c r="K396" s="139">
        <v>2833135.8244027994</v>
      </c>
      <c r="L396" s="139">
        <f t="shared" si="54"/>
        <v>3558025.2679375536</v>
      </c>
      <c r="M396" s="140">
        <f t="shared" si="55"/>
        <v>18270405.225860581</v>
      </c>
      <c r="N396" s="21">
        <f>INDEX('CHIRP Payment Calc'!AM:AM,MATCH(F:F,'CHIRP Payment Calc'!C:C,0))</f>
        <v>0.92</v>
      </c>
      <c r="O396" s="141">
        <f>INDEX('CHIRP Payment Calc'!AL:AL,MATCH(F:F,'CHIRP Payment Calc'!C:C,0))</f>
        <v>1.35</v>
      </c>
      <c r="P396" s="138">
        <f t="shared" si="56"/>
        <v>27938430.301414333</v>
      </c>
      <c r="Q396" s="139">
        <f t="shared" si="57"/>
        <v>1717606.3292063083</v>
      </c>
      <c r="R396" s="139">
        <f t="shared" si="58"/>
        <v>2590608.7871541553</v>
      </c>
      <c r="S396" s="139">
        <f t="shared" si="59"/>
        <v>884823.89852101938</v>
      </c>
      <c r="T396" s="139">
        <f t="shared" si="60"/>
        <v>22111738.665218044</v>
      </c>
      <c r="U396" s="139">
        <f t="shared" si="61"/>
        <v>4068865.2797274254</v>
      </c>
      <c r="V396" s="140">
        <f t="shared" si="62"/>
        <v>29656036.630620643</v>
      </c>
    </row>
    <row r="397" spans="4:22">
      <c r="D397" s="9" t="s">
        <v>1202</v>
      </c>
      <c r="E397" s="9" t="s">
        <v>2279</v>
      </c>
      <c r="F397" s="4" t="s">
        <v>1448</v>
      </c>
      <c r="G397" s="9" t="s">
        <v>2647</v>
      </c>
      <c r="H397" s="138">
        <v>0</v>
      </c>
      <c r="I397" s="139">
        <v>214102.62002298469</v>
      </c>
      <c r="J397" s="139">
        <v>0</v>
      </c>
      <c r="K397" s="139">
        <v>173600.79781932649</v>
      </c>
      <c r="L397" s="139">
        <f t="shared" si="54"/>
        <v>0</v>
      </c>
      <c r="M397" s="140">
        <f t="shared" si="55"/>
        <v>387703.4178423112</v>
      </c>
      <c r="N397" s="21">
        <f>INDEX('CHIRP Payment Calc'!AM:AM,MATCH(F:F,'CHIRP Payment Calc'!C:C,0))</f>
        <v>0.92</v>
      </c>
      <c r="O397" s="141">
        <f>INDEX('CHIRP Payment Calc'!AL:AL,MATCH(F:F,'CHIRP Payment Calc'!C:C,0))</f>
        <v>0.39999999999999997</v>
      </c>
      <c r="P397" s="138">
        <f t="shared" si="56"/>
        <v>155081.36713692447</v>
      </c>
      <c r="Q397" s="139">
        <f t="shared" si="57"/>
        <v>9657.1462176986206</v>
      </c>
      <c r="R397" s="139">
        <f t="shared" si="58"/>
        <v>0</v>
      </c>
      <c r="S397" s="139">
        <f t="shared" si="59"/>
        <v>0</v>
      </c>
      <c r="T397" s="139">
        <f t="shared" si="60"/>
        <v>90865.833431505424</v>
      </c>
      <c r="U397" s="139">
        <f t="shared" si="61"/>
        <v>73872.679923117656</v>
      </c>
      <c r="V397" s="140">
        <f t="shared" si="62"/>
        <v>164738.51335462308</v>
      </c>
    </row>
    <row r="398" spans="4:22">
      <c r="D398" s="9" t="s">
        <v>1202</v>
      </c>
      <c r="E398" s="9" t="s">
        <v>2279</v>
      </c>
      <c r="F398" s="4" t="s">
        <v>1005</v>
      </c>
      <c r="G398" s="9" t="s">
        <v>2853</v>
      </c>
      <c r="H398" s="138">
        <v>1258414.5091368333</v>
      </c>
      <c r="I398" s="139">
        <v>840024.31012907543</v>
      </c>
      <c r="J398" s="139">
        <v>1506461.7570517762</v>
      </c>
      <c r="K398" s="139">
        <v>701185.55051042489</v>
      </c>
      <c r="L398" s="139">
        <f t="shared" si="54"/>
        <v>2764876.2661886094</v>
      </c>
      <c r="M398" s="140">
        <f t="shared" si="55"/>
        <v>1541209.8606395004</v>
      </c>
      <c r="N398" s="21">
        <f>INDEX('CHIRP Payment Calc'!AM:AM,MATCH(F:F,'CHIRP Payment Calc'!C:C,0))</f>
        <v>0.94000000000000006</v>
      </c>
      <c r="O398" s="141">
        <f>INDEX('CHIRP Payment Calc'!AL:AL,MATCH(F:F,'CHIRP Payment Calc'!C:C,0))</f>
        <v>2.0499999999999998</v>
      </c>
      <c r="P398" s="138">
        <f t="shared" si="56"/>
        <v>5758463.9045282686</v>
      </c>
      <c r="Q398" s="139">
        <f t="shared" si="57"/>
        <v>359364.22497340769</v>
      </c>
      <c r="R398" s="139">
        <f t="shared" si="58"/>
        <v>1255076.5396165766</v>
      </c>
      <c r="S398" s="139">
        <f t="shared" si="59"/>
        <v>1506461.7570517764</v>
      </c>
      <c r="T398" s="139">
        <f t="shared" si="60"/>
        <v>1827108.5790605883</v>
      </c>
      <c r="U398" s="139">
        <f t="shared" si="61"/>
        <v>1529181.2537727351</v>
      </c>
      <c r="V398" s="140">
        <f t="shared" si="62"/>
        <v>6117828.1295016762</v>
      </c>
    </row>
    <row r="399" spans="4:22">
      <c r="D399" s="9" t="s">
        <v>1202</v>
      </c>
      <c r="E399" s="9" t="s">
        <v>2279</v>
      </c>
      <c r="F399" s="4" t="s">
        <v>1472</v>
      </c>
      <c r="G399" s="9" t="s">
        <v>2544</v>
      </c>
      <c r="H399" s="138">
        <v>210566.40756038183</v>
      </c>
      <c r="I399" s="139">
        <v>30914.415061180185</v>
      </c>
      <c r="J399" s="139">
        <v>89069.62713518634</v>
      </c>
      <c r="K399" s="139">
        <v>57757.629956270255</v>
      </c>
      <c r="L399" s="139">
        <f t="shared" si="54"/>
        <v>299636.03469556815</v>
      </c>
      <c r="M399" s="140">
        <f t="shared" si="55"/>
        <v>88672.045017450437</v>
      </c>
      <c r="N399" s="21">
        <f>INDEX('CHIRP Payment Calc'!AM:AM,MATCH(F:F,'CHIRP Payment Calc'!C:C,0))</f>
        <v>0.92</v>
      </c>
      <c r="O399" s="141">
        <f>INDEX('CHIRP Payment Calc'!AL:AL,MATCH(F:F,'CHIRP Payment Calc'!C:C,0))</f>
        <v>1.24</v>
      </c>
      <c r="P399" s="138">
        <f t="shared" si="56"/>
        <v>385618.48774156126</v>
      </c>
      <c r="Q399" s="139">
        <f t="shared" si="57"/>
        <v>23959.126426668274</v>
      </c>
      <c r="R399" s="139">
        <f t="shared" si="58"/>
        <v>205539.62329501464</v>
      </c>
      <c r="S399" s="139">
        <f t="shared" si="59"/>
        <v>87174.528685501529</v>
      </c>
      <c r="T399" s="139">
        <f t="shared" si="60"/>
        <v>40672.546075186663</v>
      </c>
      <c r="U399" s="139">
        <f t="shared" si="61"/>
        <v>76190.916112526727</v>
      </c>
      <c r="V399" s="140">
        <f t="shared" si="62"/>
        <v>409577.61416822957</v>
      </c>
    </row>
    <row r="400" spans="4:22">
      <c r="D400" s="9" t="s">
        <v>1202</v>
      </c>
      <c r="E400" s="9" t="s">
        <v>2279</v>
      </c>
      <c r="F400" s="4" t="s">
        <v>555</v>
      </c>
      <c r="G400" s="9" t="s">
        <v>2439</v>
      </c>
      <c r="H400" s="138">
        <v>1553029.3231337604</v>
      </c>
      <c r="I400" s="139">
        <v>1515086.4505626815</v>
      </c>
      <c r="J400" s="139">
        <v>307790.73007148597</v>
      </c>
      <c r="K400" s="139">
        <v>279638.62039375474</v>
      </c>
      <c r="L400" s="139">
        <f t="shared" si="54"/>
        <v>1860820.0532052463</v>
      </c>
      <c r="M400" s="140">
        <f t="shared" si="55"/>
        <v>1794725.0709564362</v>
      </c>
      <c r="N400" s="21">
        <f>INDEX('CHIRP Payment Calc'!AM:AM,MATCH(F:F,'CHIRP Payment Calc'!C:C,0))</f>
        <v>0.92</v>
      </c>
      <c r="O400" s="141">
        <f>INDEX('CHIRP Payment Calc'!AL:AL,MATCH(F:F,'CHIRP Payment Calc'!C:C,0))</f>
        <v>1.3199999999999998</v>
      </c>
      <c r="P400" s="138">
        <f t="shared" si="56"/>
        <v>4080991.5426113224</v>
      </c>
      <c r="Q400" s="139">
        <f t="shared" si="57"/>
        <v>250813.61138281593</v>
      </c>
      <c r="R400" s="139">
        <f t="shared" si="58"/>
        <v>1515954.3525549704</v>
      </c>
      <c r="S400" s="139">
        <f t="shared" si="59"/>
        <v>301241.99113379483</v>
      </c>
      <c r="T400" s="139">
        <f t="shared" si="60"/>
        <v>2121924.7901779725</v>
      </c>
      <c r="U400" s="139">
        <f t="shared" si="61"/>
        <v>392684.02012740029</v>
      </c>
      <c r="V400" s="140">
        <f t="shared" si="62"/>
        <v>4331805.1539941374</v>
      </c>
    </row>
    <row r="401" spans="4:22">
      <c r="D401" s="9" t="s">
        <v>1202</v>
      </c>
      <c r="E401" s="9" t="s">
        <v>2279</v>
      </c>
      <c r="F401" s="4" t="s">
        <v>2664</v>
      </c>
      <c r="G401" s="9" t="s">
        <v>3005</v>
      </c>
      <c r="H401" s="138">
        <v>5974.2498704189129</v>
      </c>
      <c r="I401" s="139">
        <v>0</v>
      </c>
      <c r="J401" s="139">
        <v>567485.82642704074</v>
      </c>
      <c r="K401" s="139">
        <v>182649.44647410591</v>
      </c>
      <c r="L401" s="139">
        <f t="shared" si="54"/>
        <v>573460.07629745966</v>
      </c>
      <c r="M401" s="140">
        <f t="shared" si="55"/>
        <v>182649.44647410591</v>
      </c>
      <c r="N401" s="21">
        <f>INDEX('CHIRP Payment Calc'!AM:AM,MATCH(F:F,'CHIRP Payment Calc'!C:C,0))</f>
        <v>1.44</v>
      </c>
      <c r="O401" s="141">
        <f>INDEX('CHIRP Payment Calc'!AL:AL,MATCH(F:F,'CHIRP Payment Calc'!C:C,0))</f>
        <v>10.43</v>
      </c>
      <c r="P401" s="138">
        <f t="shared" si="56"/>
        <v>2730816.2365932665</v>
      </c>
      <c r="Q401" s="139">
        <f t="shared" si="57"/>
        <v>174283.14338260144</v>
      </c>
      <c r="R401" s="139">
        <f t="shared" si="58"/>
        <v>9127.7663802686839</v>
      </c>
      <c r="S401" s="139">
        <f t="shared" si="59"/>
        <v>869339.98942014761</v>
      </c>
      <c r="T401" s="139">
        <f t="shared" si="60"/>
        <v>0</v>
      </c>
      <c r="U401" s="139">
        <f t="shared" si="61"/>
        <v>2026631.6241754519</v>
      </c>
      <c r="V401" s="140">
        <f t="shared" si="62"/>
        <v>2905099.3799758684</v>
      </c>
    </row>
    <row r="402" spans="4:22">
      <c r="D402" s="9" t="s">
        <v>1202</v>
      </c>
      <c r="E402" s="9" t="s">
        <v>2279</v>
      </c>
      <c r="F402" s="4" t="s">
        <v>1417</v>
      </c>
      <c r="G402" s="9" t="s">
        <v>2632</v>
      </c>
      <c r="H402" s="138">
        <v>0</v>
      </c>
      <c r="I402" s="139">
        <v>104820.03158053791</v>
      </c>
      <c r="J402" s="139">
        <v>0</v>
      </c>
      <c r="K402" s="139">
        <v>87413.639728835653</v>
      </c>
      <c r="L402" s="139">
        <f t="shared" si="54"/>
        <v>0</v>
      </c>
      <c r="M402" s="140">
        <f t="shared" si="55"/>
        <v>192233.67130937357</v>
      </c>
      <c r="N402" s="21">
        <f>INDEX('CHIRP Payment Calc'!AM:AM,MATCH(F:F,'CHIRP Payment Calc'!C:C,0))</f>
        <v>0.92</v>
      </c>
      <c r="O402" s="141">
        <f>INDEX('CHIRP Payment Calc'!AL:AL,MATCH(F:F,'CHIRP Payment Calc'!C:C,0))</f>
        <v>0.43</v>
      </c>
      <c r="P402" s="138">
        <f t="shared" si="56"/>
        <v>82660.478663030633</v>
      </c>
      <c r="Q402" s="139">
        <f t="shared" si="57"/>
        <v>5149.0135272253556</v>
      </c>
      <c r="R402" s="139">
        <f t="shared" si="58"/>
        <v>0</v>
      </c>
      <c r="S402" s="139">
        <f t="shared" si="59"/>
        <v>0</v>
      </c>
      <c r="T402" s="139">
        <f t="shared" si="60"/>
        <v>47822.401676001376</v>
      </c>
      <c r="U402" s="139">
        <f t="shared" si="61"/>
        <v>39987.090514254611</v>
      </c>
      <c r="V402" s="140">
        <f t="shared" si="62"/>
        <v>87809.492190255987</v>
      </c>
    </row>
    <row r="403" spans="4:22">
      <c r="D403" s="9" t="s">
        <v>1202</v>
      </c>
      <c r="E403" s="9" t="s">
        <v>2279</v>
      </c>
      <c r="F403" s="4" t="s">
        <v>1035</v>
      </c>
      <c r="G403" s="9" t="s">
        <v>2453</v>
      </c>
      <c r="H403" s="138">
        <v>1411726.9479159629</v>
      </c>
      <c r="I403" s="139">
        <v>1275825.8976707258</v>
      </c>
      <c r="J403" s="139">
        <v>430269.15875292488</v>
      </c>
      <c r="K403" s="139">
        <v>1445991.1994001921</v>
      </c>
      <c r="L403" s="139">
        <f t="shared" si="54"/>
        <v>1841996.1066688877</v>
      </c>
      <c r="M403" s="140">
        <f t="shared" si="55"/>
        <v>2721817.097070918</v>
      </c>
      <c r="N403" s="21">
        <f>INDEX('CHIRP Payment Calc'!AM:AM,MATCH(F:F,'CHIRP Payment Calc'!C:C,0))</f>
        <v>0.98</v>
      </c>
      <c r="O403" s="141">
        <f>INDEX('CHIRP Payment Calc'!AL:AL,MATCH(F:F,'CHIRP Payment Calc'!C:C,0))</f>
        <v>1.77</v>
      </c>
      <c r="P403" s="138">
        <f t="shared" si="56"/>
        <v>6622772.4463510346</v>
      </c>
      <c r="Q403" s="139">
        <f t="shared" si="57"/>
        <v>412453.88703827979</v>
      </c>
      <c r="R403" s="139">
        <f t="shared" si="58"/>
        <v>1467896.4551274732</v>
      </c>
      <c r="S403" s="139">
        <f t="shared" si="59"/>
        <v>448578.48465730465</v>
      </c>
      <c r="T403" s="139">
        <f t="shared" si="60"/>
        <v>2395980.7309041745</v>
      </c>
      <c r="U403" s="139">
        <f t="shared" si="61"/>
        <v>2722770.662700362</v>
      </c>
      <c r="V403" s="140">
        <f t="shared" si="62"/>
        <v>7035226.3333893139</v>
      </c>
    </row>
    <row r="404" spans="4:22">
      <c r="D404" s="9" t="s">
        <v>1202</v>
      </c>
      <c r="E404" s="9" t="s">
        <v>2279</v>
      </c>
      <c r="F404" s="4" t="s">
        <v>1032</v>
      </c>
      <c r="G404" s="9" t="s">
        <v>2451</v>
      </c>
      <c r="H404" s="138">
        <v>1637472.7825843839</v>
      </c>
      <c r="I404" s="139">
        <v>3539304.6549947448</v>
      </c>
      <c r="J404" s="139">
        <v>497395.70075338776</v>
      </c>
      <c r="K404" s="139">
        <v>1744182.0400144183</v>
      </c>
      <c r="L404" s="139">
        <f t="shared" si="54"/>
        <v>2134868.4833377716</v>
      </c>
      <c r="M404" s="140">
        <f t="shared" si="55"/>
        <v>5283486.6950091626</v>
      </c>
      <c r="N404" s="21">
        <f>INDEX('CHIRP Payment Calc'!AM:AM,MATCH(F:F,'CHIRP Payment Calc'!C:C,0))</f>
        <v>1.03</v>
      </c>
      <c r="O404" s="141">
        <f>INDEX('CHIRP Payment Calc'!AL:AL,MATCH(F:F,'CHIRP Payment Calc'!C:C,0))</f>
        <v>1.3399999999999999</v>
      </c>
      <c r="P404" s="138">
        <f t="shared" si="56"/>
        <v>9278786.7091501821</v>
      </c>
      <c r="Q404" s="139">
        <f t="shared" si="57"/>
        <v>574120.69009882689</v>
      </c>
      <c r="R404" s="139">
        <f t="shared" si="58"/>
        <v>1789492.8021877087</v>
      </c>
      <c r="S404" s="139">
        <f t="shared" si="59"/>
        <v>545018.69337871217</v>
      </c>
      <c r="T404" s="139">
        <f t="shared" si="60"/>
        <v>5032008.7402577801</v>
      </c>
      <c r="U404" s="139">
        <f t="shared" si="61"/>
        <v>2486387.163424809</v>
      </c>
      <c r="V404" s="140">
        <f t="shared" si="62"/>
        <v>9852907.3992490098</v>
      </c>
    </row>
    <row r="405" spans="4:22">
      <c r="D405" s="9" t="s">
        <v>1202</v>
      </c>
      <c r="E405" s="9" t="s">
        <v>2279</v>
      </c>
      <c r="F405" s="4" t="s">
        <v>1066</v>
      </c>
      <c r="G405" s="9" t="s">
        <v>2429</v>
      </c>
      <c r="H405" s="138">
        <v>3644721.2482650513</v>
      </c>
      <c r="I405" s="139">
        <v>24525263.176624026</v>
      </c>
      <c r="J405" s="139">
        <v>612567.23257134797</v>
      </c>
      <c r="K405" s="139">
        <v>2342276.1585404472</v>
      </c>
      <c r="L405" s="139">
        <f t="shared" si="54"/>
        <v>4257288.4808363989</v>
      </c>
      <c r="M405" s="140">
        <f t="shared" si="55"/>
        <v>26867539.335164472</v>
      </c>
      <c r="N405" s="21">
        <f>INDEX('CHIRP Payment Calc'!AM:AM,MATCH(F:F,'CHIRP Payment Calc'!C:C,0))</f>
        <v>0.95000000000000007</v>
      </c>
      <c r="O405" s="141">
        <f>INDEX('CHIRP Payment Calc'!AL:AL,MATCH(F:F,'CHIRP Payment Calc'!C:C,0))</f>
        <v>1</v>
      </c>
      <c r="P405" s="138">
        <f t="shared" si="56"/>
        <v>30911963.391959053</v>
      </c>
      <c r="Q405" s="139">
        <f t="shared" si="57"/>
        <v>1894127.3874474799</v>
      </c>
      <c r="R405" s="139">
        <f t="shared" si="58"/>
        <v>3673724.3351212721</v>
      </c>
      <c r="S405" s="139">
        <f t="shared" si="59"/>
        <v>619083.9052582772</v>
      </c>
      <c r="T405" s="139">
        <f t="shared" si="60"/>
        <v>26021499.391643528</v>
      </c>
      <c r="U405" s="139">
        <f t="shared" si="61"/>
        <v>2491783.1473834547</v>
      </c>
      <c r="V405" s="140">
        <f t="shared" si="62"/>
        <v>32806090.779406533</v>
      </c>
    </row>
    <row r="406" spans="4:22">
      <c r="D406" s="9" t="s">
        <v>1202</v>
      </c>
      <c r="E406" s="9" t="s">
        <v>2279</v>
      </c>
      <c r="F406" s="4" t="s">
        <v>1060</v>
      </c>
      <c r="G406" s="9" t="s">
        <v>2428</v>
      </c>
      <c r="H406" s="138">
        <v>822907.38104375498</v>
      </c>
      <c r="I406" s="139">
        <v>3653071.4328982863</v>
      </c>
      <c r="J406" s="139">
        <v>301233.23031159095</v>
      </c>
      <c r="K406" s="139">
        <v>1060105.1199959202</v>
      </c>
      <c r="L406" s="139">
        <f t="shared" si="54"/>
        <v>1124140.6113553459</v>
      </c>
      <c r="M406" s="140">
        <f t="shared" si="55"/>
        <v>4713176.5528942067</v>
      </c>
      <c r="N406" s="21">
        <f>INDEX('CHIRP Payment Calc'!AM:AM,MATCH(F:F,'CHIRP Payment Calc'!C:C,0))</f>
        <v>1.1100000000000001</v>
      </c>
      <c r="O406" s="141">
        <f>INDEX('CHIRP Payment Calc'!AL:AL,MATCH(F:F,'CHIRP Payment Calc'!C:C,0))</f>
        <v>1.04</v>
      </c>
      <c r="P406" s="138">
        <f t="shared" si="56"/>
        <v>6149499.6936144084</v>
      </c>
      <c r="Q406" s="139">
        <f t="shared" si="57"/>
        <v>379223.04189397022</v>
      </c>
      <c r="R406" s="139">
        <f t="shared" si="58"/>
        <v>969153.52038044366</v>
      </c>
      <c r="S406" s="139">
        <f t="shared" si="59"/>
        <v>355711.58047432551</v>
      </c>
      <c r="T406" s="139">
        <f t="shared" si="60"/>
        <v>4030975.3742325921</v>
      </c>
      <c r="U406" s="139">
        <f t="shared" si="61"/>
        <v>1172882.2604210181</v>
      </c>
      <c r="V406" s="140">
        <f t="shared" si="62"/>
        <v>6528722.7355083795</v>
      </c>
    </row>
    <row r="407" spans="4:22">
      <c r="D407" s="9" t="s">
        <v>1202</v>
      </c>
      <c r="E407" s="9" t="s">
        <v>2279</v>
      </c>
      <c r="F407" s="4" t="s">
        <v>1063</v>
      </c>
      <c r="G407" s="9" t="s">
        <v>2864</v>
      </c>
      <c r="H407" s="138">
        <v>1978303.108695427</v>
      </c>
      <c r="I407" s="139">
        <v>7646222.9520625845</v>
      </c>
      <c r="J407" s="139">
        <v>1115088.4646371827</v>
      </c>
      <c r="K407" s="139">
        <v>5607650.0402195975</v>
      </c>
      <c r="L407" s="139">
        <f t="shared" si="54"/>
        <v>3093391.5733326096</v>
      </c>
      <c r="M407" s="140">
        <f t="shared" si="55"/>
        <v>13253872.992282182</v>
      </c>
      <c r="N407" s="21">
        <f>INDEX('CHIRP Payment Calc'!AM:AM,MATCH(F:F,'CHIRP Payment Calc'!C:C,0))</f>
        <v>1.1400000000000001</v>
      </c>
      <c r="O407" s="141">
        <f>INDEX('CHIRP Payment Calc'!AL:AL,MATCH(F:F,'CHIRP Payment Calc'!C:C,0))</f>
        <v>1.24</v>
      </c>
      <c r="P407" s="138">
        <f t="shared" si="56"/>
        <v>19961268.904029083</v>
      </c>
      <c r="Q407" s="139">
        <f t="shared" si="57"/>
        <v>1241004.9116899022</v>
      </c>
      <c r="R407" s="139">
        <f t="shared" si="58"/>
        <v>2392854.6885016309</v>
      </c>
      <c r="S407" s="139">
        <f t="shared" si="59"/>
        <v>1352341.3294536048</v>
      </c>
      <c r="T407" s="139">
        <f t="shared" si="60"/>
        <v>10059752.212793214</v>
      </c>
      <c r="U407" s="139">
        <f t="shared" si="61"/>
        <v>7397325.5849705329</v>
      </c>
      <c r="V407" s="140">
        <f t="shared" si="62"/>
        <v>21202273.815718982</v>
      </c>
    </row>
    <row r="408" spans="4:22">
      <c r="D408" s="9" t="s">
        <v>1202</v>
      </c>
      <c r="E408" s="9" t="s">
        <v>2279</v>
      </c>
      <c r="F408" s="4" t="s">
        <v>1057</v>
      </c>
      <c r="G408" s="9" t="s">
        <v>2430</v>
      </c>
      <c r="H408" s="138">
        <v>2366959.4153579767</v>
      </c>
      <c r="I408" s="139">
        <v>26313393.776615892</v>
      </c>
      <c r="J408" s="139">
        <v>1438600.3098300891</v>
      </c>
      <c r="K408" s="139">
        <v>5366118.2710856842</v>
      </c>
      <c r="L408" s="139">
        <f t="shared" si="54"/>
        <v>3805559.7251880658</v>
      </c>
      <c r="M408" s="140">
        <f t="shared" si="55"/>
        <v>31679512.047701575</v>
      </c>
      <c r="N408" s="21">
        <f>INDEX('CHIRP Payment Calc'!AM:AM,MATCH(F:F,'CHIRP Payment Calc'!C:C,0))</f>
        <v>1.17</v>
      </c>
      <c r="O408" s="141">
        <f>INDEX('CHIRP Payment Calc'!AL:AL,MATCH(F:F,'CHIRP Payment Calc'!C:C,0))</f>
        <v>1.03</v>
      </c>
      <c r="P408" s="138">
        <f t="shared" si="56"/>
        <v>37082402.287602663</v>
      </c>
      <c r="Q408" s="139">
        <f t="shared" si="57"/>
        <v>2282667.7624010639</v>
      </c>
      <c r="R408" s="139">
        <f t="shared" si="58"/>
        <v>2938294.4466512813</v>
      </c>
      <c r="S408" s="139">
        <f t="shared" si="59"/>
        <v>1790598.2579800044</v>
      </c>
      <c r="T408" s="139">
        <f t="shared" si="60"/>
        <v>28756281.793012593</v>
      </c>
      <c r="U408" s="139">
        <f t="shared" si="61"/>
        <v>5879895.5523598464</v>
      </c>
      <c r="V408" s="140">
        <f t="shared" si="62"/>
        <v>39365070.05000373</v>
      </c>
    </row>
    <row r="409" spans="4:22">
      <c r="D409" s="9" t="s">
        <v>1202</v>
      </c>
      <c r="E409" s="9" t="s">
        <v>2279</v>
      </c>
      <c r="F409" s="4" t="s">
        <v>390</v>
      </c>
      <c r="G409" s="9" t="s">
        <v>2450</v>
      </c>
      <c r="H409" s="138">
        <v>348593.66219108261</v>
      </c>
      <c r="I409" s="139">
        <v>55134.019409746848</v>
      </c>
      <c r="J409" s="139">
        <v>66532.839823868286</v>
      </c>
      <c r="K409" s="139">
        <v>67185.388197675828</v>
      </c>
      <c r="L409" s="139">
        <f t="shared" si="54"/>
        <v>415126.50201495091</v>
      </c>
      <c r="M409" s="140">
        <f t="shared" si="55"/>
        <v>122319.40760742268</v>
      </c>
      <c r="N409" s="21">
        <f>INDEX('CHIRP Payment Calc'!AM:AM,MATCH(F:F,'CHIRP Payment Calc'!C:C,0))</f>
        <v>0.99</v>
      </c>
      <c r="O409" s="141">
        <f>INDEX('CHIRP Payment Calc'!AL:AL,MATCH(F:F,'CHIRP Payment Calc'!C:C,0))</f>
        <v>1.5299999999999998</v>
      </c>
      <c r="P409" s="138">
        <f t="shared" si="56"/>
        <v>598123.93063415808</v>
      </c>
      <c r="Q409" s="139">
        <f t="shared" si="57"/>
        <v>36966.252428688334</v>
      </c>
      <c r="R409" s="139">
        <f t="shared" si="58"/>
        <v>366162.04304421408</v>
      </c>
      <c r="S409" s="139">
        <f t="shared" si="59"/>
        <v>70071.820665563399</v>
      </c>
      <c r="T409" s="139">
        <f t="shared" si="60"/>
        <v>89501.378988766752</v>
      </c>
      <c r="U409" s="139">
        <f t="shared" si="61"/>
        <v>109354.94036430214</v>
      </c>
      <c r="V409" s="140">
        <f t="shared" si="62"/>
        <v>635090.18306284631</v>
      </c>
    </row>
    <row r="410" spans="4:22">
      <c r="D410" s="9" t="s">
        <v>1202</v>
      </c>
      <c r="E410" s="9" t="s">
        <v>2279</v>
      </c>
      <c r="F410" s="4" t="s">
        <v>2281</v>
      </c>
      <c r="G410" s="9" t="s">
        <v>2544</v>
      </c>
      <c r="H410" s="138">
        <v>0</v>
      </c>
      <c r="I410" s="139">
        <v>0</v>
      </c>
      <c r="J410" s="139">
        <v>113.93431740490766</v>
      </c>
      <c r="K410" s="139">
        <v>0</v>
      </c>
      <c r="L410" s="139">
        <f t="shared" si="54"/>
        <v>113.93431740490766</v>
      </c>
      <c r="M410" s="140">
        <f t="shared" si="55"/>
        <v>0</v>
      </c>
      <c r="N410" s="21">
        <f>INDEX('CHIRP Payment Calc'!AM:AM,MATCH(F:F,'CHIRP Payment Calc'!C:C,0))</f>
        <v>2.36</v>
      </c>
      <c r="O410" s="141">
        <f>INDEX('CHIRP Payment Calc'!AL:AL,MATCH(F:F,'CHIRP Payment Calc'!C:C,0))</f>
        <v>0.35</v>
      </c>
      <c r="P410" s="138">
        <f t="shared" si="56"/>
        <v>268.88498907558204</v>
      </c>
      <c r="Q410" s="139">
        <f t="shared" si="57"/>
        <v>17.162871643122262</v>
      </c>
      <c r="R410" s="139">
        <f t="shared" si="58"/>
        <v>0</v>
      </c>
      <c r="S410" s="139">
        <f t="shared" si="59"/>
        <v>286.04786071870433</v>
      </c>
      <c r="T410" s="139">
        <f t="shared" si="60"/>
        <v>0</v>
      </c>
      <c r="U410" s="139">
        <f t="shared" si="61"/>
        <v>0</v>
      </c>
      <c r="V410" s="140">
        <f t="shared" si="62"/>
        <v>286.04786071870433</v>
      </c>
    </row>
    <row r="411" spans="4:22">
      <c r="D411" s="9" t="s">
        <v>1202</v>
      </c>
      <c r="E411" s="9" t="s">
        <v>2279</v>
      </c>
      <c r="F411" s="4" t="s">
        <v>2725</v>
      </c>
      <c r="G411" s="9" t="s">
        <v>2531</v>
      </c>
      <c r="H411" s="143">
        <v>618.73110646097734</v>
      </c>
      <c r="I411" s="144">
        <v>0</v>
      </c>
      <c r="J411" s="144">
        <v>0</v>
      </c>
      <c r="K411" s="144">
        <v>0</v>
      </c>
      <c r="L411" s="139">
        <f t="shared" si="54"/>
        <v>618.73110646097734</v>
      </c>
      <c r="M411" s="140">
        <f t="shared" si="55"/>
        <v>0</v>
      </c>
      <c r="N411" s="21">
        <f>INDEX('CHIRP Payment Calc'!AM:AM,MATCH(F:F,'CHIRP Payment Calc'!C:C,0))</f>
        <v>1.67</v>
      </c>
      <c r="O411" s="141">
        <f>INDEX('CHIRP Payment Calc'!AL:AL,MATCH(F:F,'CHIRP Payment Calc'!C:C,0))</f>
        <v>0.35</v>
      </c>
      <c r="P411" s="138">
        <f t="shared" si="56"/>
        <v>1033.2809477898322</v>
      </c>
      <c r="Q411" s="139">
        <f t="shared" si="57"/>
        <v>63.038360209989762</v>
      </c>
      <c r="R411" s="139">
        <f t="shared" si="58"/>
        <v>1096.3193079998218</v>
      </c>
      <c r="S411" s="139">
        <f t="shared" si="59"/>
        <v>0</v>
      </c>
      <c r="T411" s="139">
        <f t="shared" si="60"/>
        <v>0</v>
      </c>
      <c r="U411" s="139">
        <f t="shared" si="61"/>
        <v>0</v>
      </c>
      <c r="V411" s="140">
        <f t="shared" si="62"/>
        <v>1096.3193079998218</v>
      </c>
    </row>
    <row r="412" spans="4:22">
      <c r="D412" s="1" t="s">
        <v>2386</v>
      </c>
      <c r="G412" s="9" t="s">
        <v>2693</v>
      </c>
      <c r="H412" s="145">
        <v>1751902989.2947962</v>
      </c>
      <c r="I412" s="145">
        <v>2755617525.4024448</v>
      </c>
      <c r="J412" s="145">
        <v>343910370.21874696</v>
      </c>
      <c r="K412" s="145">
        <v>649356814.57028019</v>
      </c>
      <c r="L412" s="145">
        <f>SUM(L$5:L411)</f>
        <v>2095813359.5135431</v>
      </c>
      <c r="M412" s="145">
        <f>SUM(M$5:M411)</f>
        <v>3404974339.972723</v>
      </c>
      <c r="N412" s="145"/>
      <c r="O412" s="146"/>
      <c r="P412" s="145">
        <f>SUM(P$5:P411)</f>
        <v>4922638752.2080069</v>
      </c>
      <c r="Q412" s="145">
        <f>SUM(Q$5:Q411)</f>
        <v>303185466.93634653</v>
      </c>
      <c r="R412" s="145">
        <f>SUM(R$5:R411)</f>
        <v>1013765406.2220122</v>
      </c>
      <c r="S412" s="145">
        <f>SUM(S$5:S411)</f>
        <v>262298478.88189146</v>
      </c>
      <c r="T412" s="145">
        <f>SUM(T$5:T411)</f>
        <v>3131829078.703836</v>
      </c>
      <c r="U412" s="145">
        <f>SUM(U$5:U411)</f>
        <v>817931255.3366164</v>
      </c>
      <c r="V412" s="145">
        <f>SUM(V$5:V411)</f>
        <v>5225824219.1443539</v>
      </c>
    </row>
  </sheetData>
  <mergeCells count="1">
    <mergeCell ref="J3:K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09A0-D9A9-43FE-B293-28A2C81FFBBB}">
  <sheetPr>
    <tabColor rgb="FFFFFF00"/>
  </sheetPr>
  <dimension ref="A1:R62"/>
  <sheetViews>
    <sheetView zoomScale="80" zoomScaleNormal="80" workbookViewId="0">
      <selection activeCell="R7" sqref="R7"/>
    </sheetView>
  </sheetViews>
  <sheetFormatPr defaultColWidth="8.796875" defaultRowHeight="15"/>
  <cols>
    <col min="1" max="1" width="29" style="9" customWidth="1"/>
    <col min="2" max="2" width="20.296875" style="7" customWidth="1"/>
    <col min="3" max="4" width="16.3984375" style="7" customWidth="1"/>
    <col min="5" max="5" width="19.796875" style="9" customWidth="1"/>
    <col min="6" max="7" width="17" style="9" customWidth="1"/>
    <col min="8" max="8" width="19.796875" style="9" customWidth="1"/>
    <col min="9" max="9" width="16.8984375" style="9" customWidth="1"/>
    <col min="10" max="10" width="14.8984375" customWidth="1"/>
    <col min="11" max="11" width="14.8984375" style="9" customWidth="1"/>
    <col min="12" max="12" width="14.796875" style="9" customWidth="1"/>
    <col min="13" max="13" width="13.69921875" style="9" customWidth="1"/>
    <col min="14" max="14" width="13.5" style="9" customWidth="1"/>
    <col min="15" max="15" width="16.19921875" style="9" customWidth="1"/>
    <col min="16" max="18" width="16.8984375" style="9" customWidth="1"/>
    <col min="19" max="16384" width="8.796875" style="9"/>
  </cols>
  <sheetData>
    <row r="1" spans="1:18" ht="19.5">
      <c r="A1" s="68" t="s">
        <v>2767</v>
      </c>
      <c r="B1" s="29"/>
      <c r="C1" s="29"/>
      <c r="D1" s="91"/>
    </row>
    <row r="2" spans="1:18" ht="16.5" customHeight="1" thickBot="1">
      <c r="A2" s="68"/>
      <c r="B2" s="88"/>
      <c r="C2" s="88"/>
      <c r="D2" s="92">
        <f>SUM(D4:D60)</f>
        <v>7060921264.6383333</v>
      </c>
      <c r="E2" s="92">
        <f t="shared" ref="E2:H2" si="0">SUM(E4:E60)</f>
        <v>2505751638.7200003</v>
      </c>
      <c r="F2" s="92">
        <f t="shared" si="0"/>
        <v>274197418</v>
      </c>
      <c r="G2" s="92">
        <f t="shared" si="0"/>
        <v>2264063567.661551</v>
      </c>
      <c r="H2" s="92">
        <f t="shared" si="0"/>
        <v>1627668878.2553525</v>
      </c>
      <c r="I2" s="106"/>
      <c r="J2" s="92">
        <f>SUM(J4:J60)</f>
        <v>1465443359.8885212</v>
      </c>
      <c r="L2" s="92">
        <f>SUM(L4:L60)</f>
        <v>2370928957.0403957</v>
      </c>
      <c r="M2" s="92">
        <f t="shared" ref="M2:O2" si="1">SUM(M4:M60)</f>
        <v>878578393.23999977</v>
      </c>
      <c r="N2" s="92">
        <f t="shared" si="1"/>
        <v>627674532.0960753</v>
      </c>
      <c r="O2" s="92">
        <f t="shared" si="1"/>
        <v>621486898.90602005</v>
      </c>
      <c r="P2" s="106"/>
      <c r="Q2" s="92">
        <f>SUM(Q4:Q60)</f>
        <v>584313677.62930024</v>
      </c>
      <c r="R2" s="106"/>
    </row>
    <row r="3" spans="1:18" ht="75" customHeight="1">
      <c r="A3" s="58" t="s">
        <v>2716</v>
      </c>
      <c r="B3" s="59" t="s">
        <v>2405</v>
      </c>
      <c r="C3" s="59" t="s">
        <v>3</v>
      </c>
      <c r="D3" s="105" t="s">
        <v>2733</v>
      </c>
      <c r="E3" s="105" t="s">
        <v>2408</v>
      </c>
      <c r="F3" s="105" t="s">
        <v>2409</v>
      </c>
      <c r="G3" s="105" t="s">
        <v>2728</v>
      </c>
      <c r="H3" s="105" t="s">
        <v>2765</v>
      </c>
      <c r="I3" s="105" t="s">
        <v>2754</v>
      </c>
      <c r="J3" s="105" t="s">
        <v>2758</v>
      </c>
      <c r="K3" s="105" t="s">
        <v>2756</v>
      </c>
      <c r="L3" s="108" t="s">
        <v>2734</v>
      </c>
      <c r="M3" s="108" t="s">
        <v>2410</v>
      </c>
      <c r="N3" s="108" t="s">
        <v>2749</v>
      </c>
      <c r="O3" s="108" t="s">
        <v>2766</v>
      </c>
      <c r="P3" s="108" t="s">
        <v>2755</v>
      </c>
      <c r="Q3" s="108" t="s">
        <v>2759</v>
      </c>
      <c r="R3" s="111" t="s">
        <v>2760</v>
      </c>
    </row>
    <row r="4" spans="1:18">
      <c r="A4" s="24" t="s">
        <v>2507</v>
      </c>
      <c r="B4" s="89" t="s">
        <v>2394</v>
      </c>
      <c r="C4" s="89" t="s">
        <v>300</v>
      </c>
      <c r="D4" s="69">
        <v>0</v>
      </c>
      <c r="E4" s="69">
        <v>0</v>
      </c>
      <c r="F4" s="69">
        <v>0</v>
      </c>
      <c r="G4" s="69">
        <f>SUMIFS('CHIRP Payment Calc'!V:V,'CHIRP Payment Calc'!H:H,A4)</f>
        <v>0</v>
      </c>
      <c r="H4" s="69">
        <f>SUMIFS('CHIRP Payment Calc'!AE:AE,'CHIRP Payment Calc'!H:H,A4)</f>
        <v>0</v>
      </c>
      <c r="I4" s="107">
        <f>IFERROR(SUM(E4:H4)/D4,0)</f>
        <v>0</v>
      </c>
      <c r="J4" s="69">
        <f>MAX(MIN(0.9*D4-E4-F4-G4,H4),0)</f>
        <v>0</v>
      </c>
      <c r="K4" s="107">
        <f>IFERROR(J4/H4,0)</f>
        <v>0</v>
      </c>
      <c r="L4" s="69">
        <v>0</v>
      </c>
      <c r="M4" s="69">
        <v>0</v>
      </c>
      <c r="N4" s="69">
        <f>SUMIFS('CHIRP Payment Calc'!W:W,'CHIRP Payment Calc'!H:H,A4)</f>
        <v>0</v>
      </c>
      <c r="O4" s="69">
        <f>SUMIFS('CHIRP Payment Calc'!AF:AF,'CHIRP Payment Calc'!H:H,A4)</f>
        <v>0</v>
      </c>
      <c r="P4" s="107">
        <f>IFERROR(SUM(M4:O4)/L4,0)</f>
        <v>0</v>
      </c>
      <c r="Q4" s="69">
        <f>MAX(MIN(0.9*L4-M4-N4,O4),0)</f>
        <v>0</v>
      </c>
      <c r="R4" s="112">
        <f>IFERROR(Q4/O4,0)</f>
        <v>0</v>
      </c>
    </row>
    <row r="5" spans="1:18">
      <c r="A5" s="24" t="s">
        <v>2514</v>
      </c>
      <c r="B5" s="89" t="s">
        <v>2393</v>
      </c>
      <c r="C5" s="89" t="s">
        <v>487</v>
      </c>
      <c r="D5" s="69">
        <v>0</v>
      </c>
      <c r="E5" s="69">
        <v>8276.6</v>
      </c>
      <c r="F5" s="69">
        <v>0</v>
      </c>
      <c r="G5" s="69">
        <f>SUMIFS('CHIRP Payment Calc'!V:V,'CHIRP Payment Calc'!H:H,A5)</f>
        <v>0</v>
      </c>
      <c r="H5" s="69">
        <f>SUMIFS('CHIRP Payment Calc'!AE:AE,'CHIRP Payment Calc'!H:H,A5)</f>
        <v>0</v>
      </c>
      <c r="I5" s="107">
        <f t="shared" ref="I5:I60" si="2">IFERROR(SUM(E5:H5)/D5,0)</f>
        <v>0</v>
      </c>
      <c r="J5" s="69">
        <f t="shared" ref="J5:J60" si="3">MAX(MIN(0.9*D5-E5-F5-G5,H5),0)</f>
        <v>0</v>
      </c>
      <c r="K5" s="107">
        <f t="shared" ref="K5:K60" si="4">IFERROR(J5/H5,0)</f>
        <v>0</v>
      </c>
      <c r="L5" s="69">
        <v>0</v>
      </c>
      <c r="M5" s="69">
        <v>0</v>
      </c>
      <c r="N5" s="69">
        <f>SUMIFS('CHIRP Payment Calc'!W:W,'CHIRP Payment Calc'!H:H,A5)</f>
        <v>0</v>
      </c>
      <c r="O5" s="69">
        <f>SUMIFS('CHIRP Payment Calc'!AF:AF,'CHIRP Payment Calc'!H:H,A5)</f>
        <v>0</v>
      </c>
      <c r="P5" s="107">
        <f t="shared" ref="P5:P60" si="5">IFERROR(SUM(M5:O5)/L5,0)</f>
        <v>0</v>
      </c>
      <c r="Q5" s="69">
        <f t="shared" ref="Q5:Q60" si="6">MAX(MIN(0.9*L5-M5-N5,O5),0)</f>
        <v>0</v>
      </c>
      <c r="R5" s="112">
        <f t="shared" ref="R5:R60" si="7">IFERROR(Q5/O5,0)</f>
        <v>0</v>
      </c>
    </row>
    <row r="6" spans="1:18">
      <c r="A6" s="24" t="s">
        <v>2516</v>
      </c>
      <c r="B6" s="89" t="s">
        <v>2394</v>
      </c>
      <c r="C6" s="89" t="s">
        <v>1486</v>
      </c>
      <c r="D6" s="69">
        <v>0</v>
      </c>
      <c r="E6" s="69">
        <v>0</v>
      </c>
      <c r="F6" s="69">
        <v>0</v>
      </c>
      <c r="G6" s="69">
        <f>SUMIFS('CHIRP Payment Calc'!V:V,'CHIRP Payment Calc'!H:H,A6)</f>
        <v>0</v>
      </c>
      <c r="H6" s="69">
        <f>SUMIFS('CHIRP Payment Calc'!AE:AE,'CHIRP Payment Calc'!H:H,A6)</f>
        <v>0</v>
      </c>
      <c r="I6" s="107">
        <f t="shared" si="2"/>
        <v>0</v>
      </c>
      <c r="J6" s="69">
        <f t="shared" si="3"/>
        <v>0</v>
      </c>
      <c r="K6" s="107">
        <f t="shared" si="4"/>
        <v>0</v>
      </c>
      <c r="L6" s="69">
        <v>0</v>
      </c>
      <c r="M6" s="69">
        <v>0</v>
      </c>
      <c r="N6" s="69">
        <f>SUMIFS('CHIRP Payment Calc'!W:W,'CHIRP Payment Calc'!H:H,A6)</f>
        <v>0</v>
      </c>
      <c r="O6" s="69">
        <f>SUMIFS('CHIRP Payment Calc'!AF:AF,'CHIRP Payment Calc'!H:H,A6)</f>
        <v>0</v>
      </c>
      <c r="P6" s="107">
        <f t="shared" si="5"/>
        <v>0</v>
      </c>
      <c r="Q6" s="69">
        <f t="shared" si="6"/>
        <v>0</v>
      </c>
      <c r="R6" s="112">
        <f t="shared" si="7"/>
        <v>0</v>
      </c>
    </row>
    <row r="7" spans="1:18">
      <c r="A7" s="24" t="s">
        <v>2517</v>
      </c>
      <c r="B7" s="89" t="s">
        <v>2394</v>
      </c>
      <c r="C7" s="89" t="s">
        <v>310</v>
      </c>
      <c r="D7" s="69">
        <v>0</v>
      </c>
      <c r="E7" s="69">
        <v>0</v>
      </c>
      <c r="F7" s="69">
        <v>0</v>
      </c>
      <c r="G7" s="69">
        <f>SUMIFS('CHIRP Payment Calc'!V:V,'CHIRP Payment Calc'!H:H,A7)</f>
        <v>0</v>
      </c>
      <c r="H7" s="69">
        <f>SUMIFS('CHIRP Payment Calc'!AE:AE,'CHIRP Payment Calc'!H:H,A7)</f>
        <v>0</v>
      </c>
      <c r="I7" s="107">
        <f t="shared" si="2"/>
        <v>0</v>
      </c>
      <c r="J7" s="69">
        <f t="shared" si="3"/>
        <v>0</v>
      </c>
      <c r="K7" s="107">
        <f t="shared" si="4"/>
        <v>0</v>
      </c>
      <c r="L7" s="69">
        <v>0</v>
      </c>
      <c r="M7" s="69">
        <v>0</v>
      </c>
      <c r="N7" s="69">
        <f>SUMIFS('CHIRP Payment Calc'!W:W,'CHIRP Payment Calc'!H:H,A7)</f>
        <v>0</v>
      </c>
      <c r="O7" s="69">
        <f>SUMIFS('CHIRP Payment Calc'!AF:AF,'CHIRP Payment Calc'!H:H,A7)</f>
        <v>0</v>
      </c>
      <c r="P7" s="107">
        <f t="shared" si="5"/>
        <v>0</v>
      </c>
      <c r="Q7" s="69">
        <f t="shared" si="6"/>
        <v>0</v>
      </c>
      <c r="R7" s="112">
        <f t="shared" si="7"/>
        <v>0</v>
      </c>
    </row>
    <row r="8" spans="1:18">
      <c r="A8" s="24" t="s">
        <v>2518</v>
      </c>
      <c r="B8" s="89" t="s">
        <v>2392</v>
      </c>
      <c r="C8" s="89" t="s">
        <v>310</v>
      </c>
      <c r="D8" s="69">
        <v>0</v>
      </c>
      <c r="E8" s="69">
        <v>0</v>
      </c>
      <c r="F8" s="69">
        <v>0</v>
      </c>
      <c r="G8" s="69">
        <f>SUMIFS('CHIRP Payment Calc'!V:V,'CHIRP Payment Calc'!H:H,A8)</f>
        <v>0</v>
      </c>
      <c r="H8" s="69">
        <f>SUMIFS('CHIRP Payment Calc'!AE:AE,'CHIRP Payment Calc'!H:H,A8)</f>
        <v>0</v>
      </c>
      <c r="I8" s="107">
        <f t="shared" si="2"/>
        <v>0</v>
      </c>
      <c r="J8" s="69">
        <f t="shared" si="3"/>
        <v>0</v>
      </c>
      <c r="K8" s="107">
        <f t="shared" si="4"/>
        <v>0</v>
      </c>
      <c r="L8" s="69">
        <v>0</v>
      </c>
      <c r="M8" s="69">
        <v>0</v>
      </c>
      <c r="N8" s="69">
        <f>SUMIFS('CHIRP Payment Calc'!W:W,'CHIRP Payment Calc'!H:H,A8)</f>
        <v>0</v>
      </c>
      <c r="O8" s="69">
        <f>SUMIFS('CHIRP Payment Calc'!AF:AF,'CHIRP Payment Calc'!H:H,A8)</f>
        <v>0</v>
      </c>
      <c r="P8" s="107">
        <f t="shared" si="5"/>
        <v>0</v>
      </c>
      <c r="Q8" s="69">
        <f t="shared" si="6"/>
        <v>0</v>
      </c>
      <c r="R8" s="112">
        <f t="shared" si="7"/>
        <v>0</v>
      </c>
    </row>
    <row r="9" spans="1:18">
      <c r="A9" s="24" t="s">
        <v>2512</v>
      </c>
      <c r="B9" s="89" t="s">
        <v>2392</v>
      </c>
      <c r="C9" s="89" t="s">
        <v>1526</v>
      </c>
      <c r="D9" s="69">
        <v>839.80071122451238</v>
      </c>
      <c r="E9" s="69">
        <v>2625</v>
      </c>
      <c r="F9" s="69">
        <v>0</v>
      </c>
      <c r="G9" s="69">
        <f>SUMIFS('CHIRP Payment Calc'!V:V,'CHIRP Payment Calc'!H:H,A9)</f>
        <v>855.71061480167486</v>
      </c>
      <c r="H9" s="69">
        <f>SUMIFS('CHIRP Payment Calc'!AE:AE,'CHIRP Payment Calc'!H:H,A9)</f>
        <v>0</v>
      </c>
      <c r="I9" s="107">
        <f t="shared" si="2"/>
        <v>4.1446864336735967</v>
      </c>
      <c r="J9" s="69">
        <f t="shared" si="3"/>
        <v>0</v>
      </c>
      <c r="K9" s="107">
        <f t="shared" si="4"/>
        <v>0</v>
      </c>
      <c r="L9" s="69">
        <v>0</v>
      </c>
      <c r="M9" s="69">
        <v>0</v>
      </c>
      <c r="N9" s="69">
        <f>SUMIFS('CHIRP Payment Calc'!W:W,'CHIRP Payment Calc'!H:H,A9)</f>
        <v>0</v>
      </c>
      <c r="O9" s="69">
        <f>SUMIFS('CHIRP Payment Calc'!AF:AF,'CHIRP Payment Calc'!H:H,A9)</f>
        <v>0</v>
      </c>
      <c r="P9" s="107">
        <f t="shared" si="5"/>
        <v>0</v>
      </c>
      <c r="Q9" s="69">
        <f t="shared" si="6"/>
        <v>0</v>
      </c>
      <c r="R9" s="112">
        <f t="shared" si="7"/>
        <v>0</v>
      </c>
    </row>
    <row r="10" spans="1:18">
      <c r="A10" s="24" t="s">
        <v>2513</v>
      </c>
      <c r="B10" s="89" t="s">
        <v>2394</v>
      </c>
      <c r="C10" s="89" t="s">
        <v>487</v>
      </c>
      <c r="D10" s="69">
        <v>2826.3788990412745</v>
      </c>
      <c r="E10" s="69">
        <v>134036.16</v>
      </c>
      <c r="F10" s="69">
        <v>0</v>
      </c>
      <c r="G10" s="69">
        <f>SUMIFS('CHIRP Payment Calc'!V:V,'CHIRP Payment Calc'!H:H,A10)</f>
        <v>46790.294978372447</v>
      </c>
      <c r="H10" s="69">
        <f>SUMIFS('CHIRP Payment Calc'!AE:AE,'CHIRP Payment Calc'!H:H,A10)</f>
        <v>0</v>
      </c>
      <c r="I10" s="107">
        <f t="shared" si="2"/>
        <v>63.978136491080477</v>
      </c>
      <c r="J10" s="69">
        <f t="shared" si="3"/>
        <v>0</v>
      </c>
      <c r="K10" s="107">
        <f t="shared" si="4"/>
        <v>0</v>
      </c>
      <c r="L10" s="69">
        <v>0</v>
      </c>
      <c r="M10" s="69">
        <v>0</v>
      </c>
      <c r="N10" s="69">
        <f>SUMIFS('CHIRP Payment Calc'!W:W,'CHIRP Payment Calc'!H:H,A10)</f>
        <v>0</v>
      </c>
      <c r="O10" s="69">
        <f>SUMIFS('CHIRP Payment Calc'!AF:AF,'CHIRP Payment Calc'!H:H,A10)</f>
        <v>0</v>
      </c>
      <c r="P10" s="107">
        <f t="shared" si="5"/>
        <v>0</v>
      </c>
      <c r="Q10" s="69">
        <f t="shared" si="6"/>
        <v>0</v>
      </c>
      <c r="R10" s="112">
        <f t="shared" si="7"/>
        <v>0</v>
      </c>
    </row>
    <row r="11" spans="1:18">
      <c r="A11" s="24" t="s">
        <v>2495</v>
      </c>
      <c r="B11" s="89" t="s">
        <v>2394</v>
      </c>
      <c r="C11" s="89" t="s">
        <v>227</v>
      </c>
      <c r="D11" s="69">
        <v>96348.837336725206</v>
      </c>
      <c r="E11" s="69">
        <v>1232813.81</v>
      </c>
      <c r="F11" s="69">
        <v>0</v>
      </c>
      <c r="G11" s="69">
        <f>SUMIFS('CHIRP Payment Calc'!V:V,'CHIRP Payment Calc'!H:H,A11)</f>
        <v>434927.74744157866</v>
      </c>
      <c r="H11" s="69">
        <f>SUMIFS('CHIRP Payment Calc'!AE:AE,'CHIRP Payment Calc'!H:H,A11)</f>
        <v>0</v>
      </c>
      <c r="I11" s="107">
        <f t="shared" si="2"/>
        <v>17.309410300542226</v>
      </c>
      <c r="J11" s="69">
        <f t="shared" si="3"/>
        <v>0</v>
      </c>
      <c r="K11" s="107">
        <f t="shared" si="4"/>
        <v>0</v>
      </c>
      <c r="L11" s="69">
        <v>0</v>
      </c>
      <c r="M11" s="69">
        <v>0</v>
      </c>
      <c r="N11" s="69">
        <f>SUMIFS('CHIRP Payment Calc'!W:W,'CHIRP Payment Calc'!H:H,A11)</f>
        <v>0</v>
      </c>
      <c r="O11" s="69">
        <f>SUMIFS('CHIRP Payment Calc'!AF:AF,'CHIRP Payment Calc'!H:H,A11)</f>
        <v>0</v>
      </c>
      <c r="P11" s="107">
        <f t="shared" si="5"/>
        <v>0</v>
      </c>
      <c r="Q11" s="69">
        <f t="shared" si="6"/>
        <v>0</v>
      </c>
      <c r="R11" s="112">
        <f t="shared" si="7"/>
        <v>0</v>
      </c>
    </row>
    <row r="12" spans="1:18">
      <c r="A12" s="24" t="s">
        <v>2494</v>
      </c>
      <c r="B12" s="89" t="s">
        <v>2392</v>
      </c>
      <c r="C12" s="89" t="s">
        <v>487</v>
      </c>
      <c r="D12" s="69">
        <v>12321357.236744072</v>
      </c>
      <c r="E12" s="69">
        <v>11704557.33</v>
      </c>
      <c r="F12" s="69">
        <v>0</v>
      </c>
      <c r="G12" s="69">
        <f>SUMIFS('CHIRP Payment Calc'!V:V,'CHIRP Payment Calc'!H:H,A12)</f>
        <v>1311258.0146108782</v>
      </c>
      <c r="H12" s="69">
        <f>SUMIFS('CHIRP Payment Calc'!AE:AE,'CHIRP Payment Calc'!H:H,A12)</f>
        <v>1082762.4235970047</v>
      </c>
      <c r="I12" s="107">
        <f t="shared" si="2"/>
        <v>1.1442390231300072</v>
      </c>
      <c r="J12" s="69">
        <f t="shared" si="3"/>
        <v>0</v>
      </c>
      <c r="K12" s="107">
        <f t="shared" si="4"/>
        <v>0</v>
      </c>
      <c r="L12" s="69">
        <v>0</v>
      </c>
      <c r="M12" s="69">
        <v>0</v>
      </c>
      <c r="N12" s="69">
        <f>SUMIFS('CHIRP Payment Calc'!W:W,'CHIRP Payment Calc'!H:H,A12)</f>
        <v>0</v>
      </c>
      <c r="O12" s="69">
        <f>SUMIFS('CHIRP Payment Calc'!AF:AF,'CHIRP Payment Calc'!H:H,A12)</f>
        <v>0</v>
      </c>
      <c r="P12" s="107">
        <f t="shared" si="5"/>
        <v>0</v>
      </c>
      <c r="Q12" s="69">
        <f t="shared" si="6"/>
        <v>0</v>
      </c>
      <c r="R12" s="112">
        <f t="shared" si="7"/>
        <v>0</v>
      </c>
    </row>
    <row r="13" spans="1:18">
      <c r="A13" s="24" t="s">
        <v>2510</v>
      </c>
      <c r="B13" s="89" t="s">
        <v>2394</v>
      </c>
      <c r="C13" s="89" t="s">
        <v>1202</v>
      </c>
      <c r="D13" s="69">
        <v>0</v>
      </c>
      <c r="E13" s="69">
        <v>349931.2</v>
      </c>
      <c r="F13" s="69">
        <v>0</v>
      </c>
      <c r="G13" s="69">
        <f>SUMIFS('CHIRP Payment Calc'!V:V,'CHIRP Payment Calc'!H:H,A13)</f>
        <v>350654.96568658511</v>
      </c>
      <c r="H13" s="69">
        <f>SUMIFS('CHIRP Payment Calc'!AE:AE,'CHIRP Payment Calc'!H:H,A13)</f>
        <v>0</v>
      </c>
      <c r="I13" s="107">
        <f t="shared" si="2"/>
        <v>0</v>
      </c>
      <c r="J13" s="69">
        <f t="shared" si="3"/>
        <v>0</v>
      </c>
      <c r="K13" s="107">
        <f t="shared" si="4"/>
        <v>0</v>
      </c>
      <c r="L13" s="69">
        <v>0</v>
      </c>
      <c r="M13" s="69">
        <v>0</v>
      </c>
      <c r="N13" s="69">
        <f>SUMIFS('CHIRP Payment Calc'!W:W,'CHIRP Payment Calc'!H:H,A13)</f>
        <v>0</v>
      </c>
      <c r="O13" s="69">
        <f>SUMIFS('CHIRP Payment Calc'!AF:AF,'CHIRP Payment Calc'!H:H,A13)</f>
        <v>0</v>
      </c>
      <c r="P13" s="107">
        <f t="shared" si="5"/>
        <v>0</v>
      </c>
      <c r="Q13" s="69">
        <f t="shared" si="6"/>
        <v>0</v>
      </c>
      <c r="R13" s="112">
        <f t="shared" si="7"/>
        <v>0</v>
      </c>
    </row>
    <row r="14" spans="1:18">
      <c r="A14" s="24" t="s">
        <v>2496</v>
      </c>
      <c r="B14" s="89" t="s">
        <v>2291</v>
      </c>
      <c r="C14" s="89" t="s">
        <v>300</v>
      </c>
      <c r="D14" s="69">
        <v>1942889.2208213881</v>
      </c>
      <c r="E14" s="69">
        <v>3086533.0599999996</v>
      </c>
      <c r="F14" s="69">
        <v>0</v>
      </c>
      <c r="G14" s="69">
        <f>SUMIFS('CHIRP Payment Calc'!V:V,'CHIRP Payment Calc'!H:H,A14)</f>
        <v>60930.95220992437</v>
      </c>
      <c r="H14" s="69">
        <f>SUMIFS('CHIRP Payment Calc'!AE:AE,'CHIRP Payment Calc'!H:H,A14)</f>
        <v>29776.46998216437</v>
      </c>
      <c r="I14" s="107">
        <f t="shared" si="2"/>
        <v>1.6353173655721134</v>
      </c>
      <c r="J14" s="69">
        <f t="shared" si="3"/>
        <v>0</v>
      </c>
      <c r="K14" s="107">
        <f t="shared" si="4"/>
        <v>0</v>
      </c>
      <c r="L14" s="69">
        <v>3763446.5810807194</v>
      </c>
      <c r="M14" s="69">
        <v>1910839.94</v>
      </c>
      <c r="N14" s="69">
        <f>SUMIFS('CHIRP Payment Calc'!W:W,'CHIRP Payment Calc'!H:H,A14)</f>
        <v>1597267.8498768816</v>
      </c>
      <c r="O14" s="69">
        <f>SUMIFS('CHIRP Payment Calc'!AF:AF,'CHIRP Payment Calc'!H:H,A14)</f>
        <v>369715.58767917799</v>
      </c>
      <c r="P14" s="107">
        <f t="shared" si="5"/>
        <v>1.0303915025791319</v>
      </c>
      <c r="Q14" s="69">
        <f t="shared" si="6"/>
        <v>0</v>
      </c>
      <c r="R14" s="112">
        <f t="shared" si="7"/>
        <v>0</v>
      </c>
    </row>
    <row r="15" spans="1:18">
      <c r="A15" s="24" t="s">
        <v>2511</v>
      </c>
      <c r="B15" s="89" t="s">
        <v>2394</v>
      </c>
      <c r="C15" s="89" t="s">
        <v>223</v>
      </c>
      <c r="D15" s="69">
        <v>41599.091150630302</v>
      </c>
      <c r="E15" s="69">
        <v>223413.87</v>
      </c>
      <c r="F15" s="69">
        <v>0</v>
      </c>
      <c r="G15" s="69">
        <f>SUMIFS('CHIRP Payment Calc'!V:V,'CHIRP Payment Calc'!H:H,A15)</f>
        <v>1304035.634428469</v>
      </c>
      <c r="H15" s="69">
        <f>SUMIFS('CHIRP Payment Calc'!AE:AE,'CHIRP Payment Calc'!H:H,A15)</f>
        <v>0</v>
      </c>
      <c r="I15" s="107">
        <f t="shared" si="2"/>
        <v>36.718338362191005</v>
      </c>
      <c r="J15" s="69">
        <f t="shared" si="3"/>
        <v>0</v>
      </c>
      <c r="K15" s="107">
        <f t="shared" si="4"/>
        <v>0</v>
      </c>
      <c r="L15" s="69">
        <v>0</v>
      </c>
      <c r="M15" s="69">
        <v>0</v>
      </c>
      <c r="N15" s="69">
        <f>SUMIFS('CHIRP Payment Calc'!W:W,'CHIRP Payment Calc'!H:H,A15)</f>
        <v>0</v>
      </c>
      <c r="O15" s="69">
        <f>SUMIFS('CHIRP Payment Calc'!AF:AF,'CHIRP Payment Calc'!H:H,A15)</f>
        <v>0</v>
      </c>
      <c r="P15" s="107">
        <f t="shared" si="5"/>
        <v>0</v>
      </c>
      <c r="Q15" s="69">
        <f t="shared" si="6"/>
        <v>0</v>
      </c>
      <c r="R15" s="112">
        <f t="shared" si="7"/>
        <v>0</v>
      </c>
    </row>
    <row r="16" spans="1:18">
      <c r="A16" s="24" t="s">
        <v>2503</v>
      </c>
      <c r="B16" s="89" t="s">
        <v>2392</v>
      </c>
      <c r="C16" s="89" t="s">
        <v>1202</v>
      </c>
      <c r="D16" s="69">
        <v>5833799.0541529423</v>
      </c>
      <c r="E16" s="69">
        <v>4539451.91</v>
      </c>
      <c r="F16" s="69">
        <v>0</v>
      </c>
      <c r="G16" s="69">
        <f>SUMIFS('CHIRP Payment Calc'!V:V,'CHIRP Payment Calc'!H:H,A16)</f>
        <v>1423530.2455426971</v>
      </c>
      <c r="H16" s="69">
        <f>SUMIFS('CHIRP Payment Calc'!AE:AE,'CHIRP Payment Calc'!H:H,A16)</f>
        <v>172781.43628616381</v>
      </c>
      <c r="I16" s="107">
        <f t="shared" si="2"/>
        <v>1.0517612168113604</v>
      </c>
      <c r="J16" s="69">
        <f t="shared" si="3"/>
        <v>0</v>
      </c>
      <c r="K16" s="107">
        <f t="shared" si="4"/>
        <v>0</v>
      </c>
      <c r="L16" s="69">
        <v>0</v>
      </c>
      <c r="M16" s="69">
        <v>0</v>
      </c>
      <c r="N16" s="69">
        <f>SUMIFS('CHIRP Payment Calc'!W:W,'CHIRP Payment Calc'!H:H,A16)</f>
        <v>0</v>
      </c>
      <c r="O16" s="69">
        <f>SUMIFS('CHIRP Payment Calc'!AF:AF,'CHIRP Payment Calc'!H:H,A16)</f>
        <v>0</v>
      </c>
      <c r="P16" s="107">
        <f t="shared" si="5"/>
        <v>0</v>
      </c>
      <c r="Q16" s="69">
        <f t="shared" si="6"/>
        <v>0</v>
      </c>
      <c r="R16" s="112">
        <f t="shared" si="7"/>
        <v>0</v>
      </c>
    </row>
    <row r="17" spans="1:18">
      <c r="A17" s="24" t="s">
        <v>2508</v>
      </c>
      <c r="B17" s="89" t="s">
        <v>2392</v>
      </c>
      <c r="C17" s="89" t="s">
        <v>227</v>
      </c>
      <c r="D17" s="69">
        <v>3573251.1463823579</v>
      </c>
      <c r="E17" s="69">
        <v>2939532.75</v>
      </c>
      <c r="F17" s="69">
        <v>0</v>
      </c>
      <c r="G17" s="69">
        <f>SUMIFS('CHIRP Payment Calc'!V:V,'CHIRP Payment Calc'!H:H,A17)</f>
        <v>945295.46921086311</v>
      </c>
      <c r="H17" s="69">
        <f>SUMIFS('CHIRP Payment Calc'!AE:AE,'CHIRP Payment Calc'!H:H,A17)</f>
        <v>0</v>
      </c>
      <c r="I17" s="107">
        <f t="shared" si="2"/>
        <v>1.0871970818910821</v>
      </c>
      <c r="J17" s="69">
        <f t="shared" si="3"/>
        <v>0</v>
      </c>
      <c r="K17" s="107">
        <f t="shared" si="4"/>
        <v>0</v>
      </c>
      <c r="L17" s="69">
        <v>0</v>
      </c>
      <c r="M17" s="69">
        <v>0</v>
      </c>
      <c r="N17" s="69">
        <f>SUMIFS('CHIRP Payment Calc'!W:W,'CHIRP Payment Calc'!H:H,A17)</f>
        <v>0</v>
      </c>
      <c r="O17" s="69">
        <f>SUMIFS('CHIRP Payment Calc'!AF:AF,'CHIRP Payment Calc'!H:H,A17)</f>
        <v>0</v>
      </c>
      <c r="P17" s="107">
        <f t="shared" si="5"/>
        <v>0</v>
      </c>
      <c r="Q17" s="69">
        <f t="shared" si="6"/>
        <v>0</v>
      </c>
      <c r="R17" s="112">
        <f t="shared" si="7"/>
        <v>0</v>
      </c>
    </row>
    <row r="18" spans="1:18">
      <c r="A18" s="24" t="s">
        <v>2490</v>
      </c>
      <c r="B18" s="89" t="s">
        <v>2392</v>
      </c>
      <c r="C18" s="89" t="s">
        <v>1365</v>
      </c>
      <c r="D18" s="69">
        <v>5846439.4464067714</v>
      </c>
      <c r="E18" s="69">
        <v>4309099.24</v>
      </c>
      <c r="F18" s="69">
        <v>0</v>
      </c>
      <c r="G18" s="69">
        <f>SUMIFS('CHIRP Payment Calc'!V:V,'CHIRP Payment Calc'!H:H,A18)</f>
        <v>1698970.6264866283</v>
      </c>
      <c r="H18" s="69">
        <f>SUMIFS('CHIRP Payment Calc'!AE:AE,'CHIRP Payment Calc'!H:H,A18)</f>
        <v>141039.93764003078</v>
      </c>
      <c r="I18" s="107">
        <f t="shared" si="2"/>
        <v>1.0517700320843841</v>
      </c>
      <c r="J18" s="69">
        <f t="shared" si="3"/>
        <v>0</v>
      </c>
      <c r="K18" s="107">
        <f t="shared" si="4"/>
        <v>0</v>
      </c>
      <c r="L18" s="69">
        <v>0</v>
      </c>
      <c r="M18" s="69">
        <v>0</v>
      </c>
      <c r="N18" s="69">
        <f>SUMIFS('CHIRP Payment Calc'!W:W,'CHIRP Payment Calc'!H:H,A18)</f>
        <v>0</v>
      </c>
      <c r="O18" s="69">
        <f>SUMIFS('CHIRP Payment Calc'!AF:AF,'CHIRP Payment Calc'!H:H,A18)</f>
        <v>0</v>
      </c>
      <c r="P18" s="107">
        <f t="shared" si="5"/>
        <v>0</v>
      </c>
      <c r="Q18" s="69">
        <f t="shared" si="6"/>
        <v>0</v>
      </c>
      <c r="R18" s="112">
        <f t="shared" si="7"/>
        <v>0</v>
      </c>
    </row>
    <row r="19" spans="1:18">
      <c r="A19" s="24" t="s">
        <v>2488</v>
      </c>
      <c r="B19" s="89" t="s">
        <v>2291</v>
      </c>
      <c r="C19" s="89" t="s">
        <v>227</v>
      </c>
      <c r="D19" s="69">
        <v>32515310.734710533</v>
      </c>
      <c r="E19" s="69">
        <v>27106054.650000006</v>
      </c>
      <c r="F19" s="69">
        <v>8146563</v>
      </c>
      <c r="G19" s="69">
        <f>SUMIFS('CHIRP Payment Calc'!V:V,'CHIRP Payment Calc'!H:H,A19)</f>
        <v>0</v>
      </c>
      <c r="H19" s="69">
        <f>SUMIFS('CHIRP Payment Calc'!AE:AE,'CHIRP Payment Calc'!H:H,A19)</f>
        <v>5633285.2586502312</v>
      </c>
      <c r="I19" s="107">
        <f t="shared" si="2"/>
        <v>1.2574354045770808</v>
      </c>
      <c r="J19" s="69">
        <f t="shared" si="3"/>
        <v>0</v>
      </c>
      <c r="K19" s="107">
        <f t="shared" si="4"/>
        <v>0</v>
      </c>
      <c r="L19" s="69">
        <v>32035976.506532796</v>
      </c>
      <c r="M19" s="69">
        <v>13123344.170000004</v>
      </c>
      <c r="N19" s="69">
        <f>SUMIFS('CHIRP Payment Calc'!W:W,'CHIRP Payment Calc'!H:H,A19)</f>
        <v>7719283.1006833808</v>
      </c>
      <c r="O19" s="69">
        <f>SUMIFS('CHIRP Payment Calc'!AF:AF,'CHIRP Payment Calc'!H:H,A19)</f>
        <v>9134408.8216357753</v>
      </c>
      <c r="P19" s="107">
        <f t="shared" si="5"/>
        <v>0.93573036820670119</v>
      </c>
      <c r="Q19" s="69">
        <f t="shared" si="6"/>
        <v>7989751.5851961309</v>
      </c>
      <c r="R19" s="112">
        <f t="shared" si="7"/>
        <v>0.87468732144674677</v>
      </c>
    </row>
    <row r="20" spans="1:18">
      <c r="A20" s="24" t="s">
        <v>2506</v>
      </c>
      <c r="B20" s="89" t="s">
        <v>2392</v>
      </c>
      <c r="C20" s="89" t="s">
        <v>1486</v>
      </c>
      <c r="D20" s="69">
        <v>1927440.8372615185</v>
      </c>
      <c r="E20" s="69">
        <v>1892650.12</v>
      </c>
      <c r="F20" s="69">
        <v>0</v>
      </c>
      <c r="G20" s="69">
        <f>SUMIFS('CHIRP Payment Calc'!V:V,'CHIRP Payment Calc'!H:H,A20)</f>
        <v>1271391.5719650695</v>
      </c>
      <c r="H20" s="69">
        <f>SUMIFS('CHIRP Payment Calc'!AE:AE,'CHIRP Payment Calc'!H:H,A20)</f>
        <v>0</v>
      </c>
      <c r="I20" s="107">
        <f t="shared" si="2"/>
        <v>1.6415765562280484</v>
      </c>
      <c r="J20" s="69">
        <f t="shared" si="3"/>
        <v>0</v>
      </c>
      <c r="K20" s="107">
        <f t="shared" si="4"/>
        <v>0</v>
      </c>
      <c r="L20" s="69">
        <v>0</v>
      </c>
      <c r="M20" s="69">
        <v>0</v>
      </c>
      <c r="N20" s="69">
        <f>SUMIFS('CHIRP Payment Calc'!W:W,'CHIRP Payment Calc'!H:H,A20)</f>
        <v>0</v>
      </c>
      <c r="O20" s="69">
        <f>SUMIFS('CHIRP Payment Calc'!AF:AF,'CHIRP Payment Calc'!H:H,A20)</f>
        <v>0</v>
      </c>
      <c r="P20" s="107">
        <f t="shared" si="5"/>
        <v>0</v>
      </c>
      <c r="Q20" s="69">
        <f t="shared" si="6"/>
        <v>0</v>
      </c>
      <c r="R20" s="112">
        <f t="shared" si="7"/>
        <v>0</v>
      </c>
    </row>
    <row r="21" spans="1:18">
      <c r="A21" s="24" t="s">
        <v>2502</v>
      </c>
      <c r="B21" s="89" t="s">
        <v>2291</v>
      </c>
      <c r="C21" s="89" t="s">
        <v>1526</v>
      </c>
      <c r="D21" s="69">
        <v>8791828.8471129593</v>
      </c>
      <c r="E21" s="69">
        <v>4742633.33</v>
      </c>
      <c r="F21" s="69">
        <v>0</v>
      </c>
      <c r="G21" s="69">
        <f>SUMIFS('CHIRP Payment Calc'!V:V,'CHIRP Payment Calc'!H:H,A21)</f>
        <v>4727278.1815387262</v>
      </c>
      <c r="H21" s="69">
        <f>SUMIFS('CHIRP Payment Calc'!AE:AE,'CHIRP Payment Calc'!H:H,A21)</f>
        <v>823455.72290427715</v>
      </c>
      <c r="I21" s="107">
        <f t="shared" si="2"/>
        <v>1.1707879456528678</v>
      </c>
      <c r="J21" s="69">
        <f t="shared" si="3"/>
        <v>0</v>
      </c>
      <c r="K21" s="107">
        <f t="shared" si="4"/>
        <v>0</v>
      </c>
      <c r="L21" s="69">
        <v>6308591.65404897</v>
      </c>
      <c r="M21" s="69">
        <v>2584936.4499999997</v>
      </c>
      <c r="N21" s="69">
        <f>SUMIFS('CHIRP Payment Calc'!W:W,'CHIRP Payment Calc'!H:H,A21)</f>
        <v>1706685.3266250903</v>
      </c>
      <c r="O21" s="69">
        <f>SUMIFS('CHIRP Payment Calc'!AF:AF,'CHIRP Payment Calc'!H:H,A21)</f>
        <v>1682138.0860268387</v>
      </c>
      <c r="P21" s="107">
        <f t="shared" si="5"/>
        <v>0.94692447859069473</v>
      </c>
      <c r="Q21" s="69">
        <f t="shared" si="6"/>
        <v>1386110.7120189827</v>
      </c>
      <c r="R21" s="112">
        <f t="shared" si="7"/>
        <v>0.82401719783477223</v>
      </c>
    </row>
    <row r="22" spans="1:18">
      <c r="A22" s="24" t="s">
        <v>2485</v>
      </c>
      <c r="B22" s="89" t="s">
        <v>2393</v>
      </c>
      <c r="C22" s="89" t="s">
        <v>310</v>
      </c>
      <c r="D22" s="69">
        <v>535724.78218861099</v>
      </c>
      <c r="E22" s="69">
        <v>447076.56</v>
      </c>
      <c r="F22" s="69">
        <v>0</v>
      </c>
      <c r="G22" s="69">
        <f>SUMIFS('CHIRP Payment Calc'!V:V,'CHIRP Payment Calc'!H:H,A22)</f>
        <v>31977.298141360996</v>
      </c>
      <c r="H22" s="69">
        <f>SUMIFS('CHIRP Payment Calc'!AE:AE,'CHIRP Payment Calc'!H:H,A22)</f>
        <v>38372.757769633194</v>
      </c>
      <c r="I22" s="107">
        <f t="shared" si="2"/>
        <v>0.965844092179453</v>
      </c>
      <c r="J22" s="69">
        <f t="shared" si="3"/>
        <v>3098.4458283888962</v>
      </c>
      <c r="K22" s="107">
        <f t="shared" si="4"/>
        <v>8.0745977315211201E-2</v>
      </c>
      <c r="L22" s="69">
        <v>4759237.4002117133</v>
      </c>
      <c r="M22" s="69">
        <v>3332559.5</v>
      </c>
      <c r="N22" s="69">
        <f>SUMIFS('CHIRP Payment Calc'!W:W,'CHIRP Payment Calc'!H:H,A22)</f>
        <v>1861306.1604713823</v>
      </c>
      <c r="O22" s="69">
        <f>SUMIFS('CHIRP Payment Calc'!AF:AF,'CHIRP Payment Calc'!H:H,A22)</f>
        <v>0</v>
      </c>
      <c r="P22" s="107">
        <f t="shared" si="5"/>
        <v>1.0913230889134329</v>
      </c>
      <c r="Q22" s="69">
        <f t="shared" si="6"/>
        <v>0</v>
      </c>
      <c r="R22" s="112">
        <f t="shared" si="7"/>
        <v>0</v>
      </c>
    </row>
    <row r="23" spans="1:18">
      <c r="A23" s="24" t="s">
        <v>2497</v>
      </c>
      <c r="B23" s="89" t="s">
        <v>2291</v>
      </c>
      <c r="C23" s="89" t="s">
        <v>1550</v>
      </c>
      <c r="D23" s="69">
        <v>3652996.7623415552</v>
      </c>
      <c r="E23" s="69">
        <v>4491985.3900000006</v>
      </c>
      <c r="F23" s="69">
        <v>0</v>
      </c>
      <c r="G23" s="69">
        <f>SUMIFS('CHIRP Payment Calc'!V:V,'CHIRP Payment Calc'!H:H,A23)</f>
        <v>0</v>
      </c>
      <c r="H23" s="69">
        <f>SUMIFS('CHIRP Payment Calc'!AE:AE,'CHIRP Payment Calc'!H:H,A23)</f>
        <v>42063.283158845254</v>
      </c>
      <c r="I23" s="107">
        <f t="shared" si="2"/>
        <v>1.2411860639735526</v>
      </c>
      <c r="J23" s="69">
        <f t="shared" si="3"/>
        <v>0</v>
      </c>
      <c r="K23" s="107">
        <f t="shared" si="4"/>
        <v>0</v>
      </c>
      <c r="L23" s="69">
        <v>6330595.712992656</v>
      </c>
      <c r="M23" s="69">
        <v>2022067.0200000003</v>
      </c>
      <c r="N23" s="69">
        <f>SUMIFS('CHIRP Payment Calc'!W:W,'CHIRP Payment Calc'!H:H,A23)</f>
        <v>1362760.6287704182</v>
      </c>
      <c r="O23" s="69">
        <f>SUMIFS('CHIRP Payment Calc'!AF:AF,'CHIRP Payment Calc'!H:H,A23)</f>
        <v>2237797.0568352328</v>
      </c>
      <c r="P23" s="107">
        <f t="shared" si="5"/>
        <v>0.88816676352685198</v>
      </c>
      <c r="Q23" s="69">
        <f t="shared" si="6"/>
        <v>2237797.0568352328</v>
      </c>
      <c r="R23" s="112">
        <f t="shared" si="7"/>
        <v>1</v>
      </c>
    </row>
    <row r="24" spans="1:18">
      <c r="A24" s="24" t="s">
        <v>2470</v>
      </c>
      <c r="B24" s="89" t="s">
        <v>2279</v>
      </c>
      <c r="C24" s="89" t="s">
        <v>300</v>
      </c>
      <c r="D24" s="69">
        <v>1257555182.1345558</v>
      </c>
      <c r="E24" s="69">
        <v>371047039.81</v>
      </c>
      <c r="F24" s="69">
        <v>47657861</v>
      </c>
      <c r="G24" s="69">
        <f>SUMIFS('CHIRP Payment Calc'!V:V,'CHIRP Payment Calc'!H:H,A24)</f>
        <v>828395181.40732348</v>
      </c>
      <c r="H24" s="69">
        <f>SUMIFS('CHIRP Payment Calc'!AE:AE,'CHIRP Payment Calc'!H:H,A24)</f>
        <v>91589808.755230874</v>
      </c>
      <c r="I24" s="107">
        <f t="shared" si="2"/>
        <v>1.0645178120138488</v>
      </c>
      <c r="J24" s="69">
        <f t="shared" si="3"/>
        <v>0</v>
      </c>
      <c r="K24" s="107">
        <f t="shared" si="4"/>
        <v>0</v>
      </c>
      <c r="L24" s="69">
        <v>273232155.37995261</v>
      </c>
      <c r="M24" s="69">
        <v>111919225.55000001</v>
      </c>
      <c r="N24" s="69">
        <f>SUMIFS('CHIRP Payment Calc'!W:W,'CHIRP Payment Calc'!H:H,A24)</f>
        <v>88653031.764054626</v>
      </c>
      <c r="O24" s="69">
        <f>SUMIFS('CHIRP Payment Calc'!AF:AF,'CHIRP Payment Calc'!H:H,A24)</f>
        <v>48371589.460314438</v>
      </c>
      <c r="P24" s="107">
        <f t="shared" si="5"/>
        <v>0.91110742960758562</v>
      </c>
      <c r="Q24" s="69">
        <f t="shared" si="6"/>
        <v>45336682.527902722</v>
      </c>
      <c r="R24" s="112">
        <f t="shared" si="7"/>
        <v>0.93725848238041365</v>
      </c>
    </row>
    <row r="25" spans="1:18">
      <c r="A25" s="24" t="s">
        <v>2477</v>
      </c>
      <c r="B25" s="89" t="s">
        <v>2279</v>
      </c>
      <c r="C25" s="89" t="s">
        <v>1526</v>
      </c>
      <c r="D25" s="69">
        <v>131956559.8561044</v>
      </c>
      <c r="E25" s="69">
        <v>47260815.189999998</v>
      </c>
      <c r="F25" s="69">
        <v>57556245</v>
      </c>
      <c r="G25" s="69">
        <f>SUMIFS('CHIRP Payment Calc'!V:V,'CHIRP Payment Calc'!H:H,A25)</f>
        <v>0</v>
      </c>
      <c r="H25" s="69">
        <f>SUMIFS('CHIRP Payment Calc'!AE:AE,'CHIRP Payment Calc'!H:H,A25)</f>
        <v>37749846.27339863</v>
      </c>
      <c r="I25" s="107">
        <f t="shared" si="2"/>
        <v>1.080407875280051</v>
      </c>
      <c r="J25" s="69">
        <f t="shared" si="3"/>
        <v>13943843.680493966</v>
      </c>
      <c r="K25" s="107">
        <f t="shared" si="4"/>
        <v>0.36937484670817966</v>
      </c>
      <c r="L25" s="69">
        <v>61800446.113711029</v>
      </c>
      <c r="M25" s="69">
        <v>16633720.68</v>
      </c>
      <c r="N25" s="69">
        <f>SUMIFS('CHIRP Payment Calc'!W:W,'CHIRP Payment Calc'!H:H,A25)</f>
        <v>22992530.185172409</v>
      </c>
      <c r="O25" s="69">
        <f>SUMIFS('CHIRP Payment Calc'!AF:AF,'CHIRP Payment Calc'!H:H,A25)</f>
        <v>17622921.511079982</v>
      </c>
      <c r="P25" s="107">
        <f t="shared" si="5"/>
        <v>0.92635532550874422</v>
      </c>
      <c r="Q25" s="69">
        <f t="shared" si="6"/>
        <v>15994150.637167521</v>
      </c>
      <c r="R25" s="112">
        <f t="shared" si="7"/>
        <v>0.90757656879488391</v>
      </c>
    </row>
    <row r="26" spans="1:18">
      <c r="A26" s="24" t="s">
        <v>2491</v>
      </c>
      <c r="B26" s="89" t="s">
        <v>2392</v>
      </c>
      <c r="C26" s="89" t="s">
        <v>300</v>
      </c>
      <c r="D26" s="69">
        <v>25545529.248235717</v>
      </c>
      <c r="E26" s="69">
        <v>18864999.639999997</v>
      </c>
      <c r="F26" s="69">
        <v>0</v>
      </c>
      <c r="G26" s="69">
        <f>SUMIFS('CHIRP Payment Calc'!V:V,'CHIRP Payment Calc'!H:H,A26)</f>
        <v>7421787.7617558576</v>
      </c>
      <c r="H26" s="69">
        <f>SUMIFS('CHIRP Payment Calc'!AE:AE,'CHIRP Payment Calc'!H:H,A26)</f>
        <v>280445.52699472231</v>
      </c>
      <c r="I26" s="107">
        <f t="shared" si="2"/>
        <v>1.0399954007836978</v>
      </c>
      <c r="J26" s="69">
        <f t="shared" si="3"/>
        <v>0</v>
      </c>
      <c r="K26" s="107">
        <f t="shared" si="4"/>
        <v>0</v>
      </c>
      <c r="L26" s="69">
        <v>0</v>
      </c>
      <c r="M26" s="69">
        <v>0</v>
      </c>
      <c r="N26" s="69">
        <f>SUMIFS('CHIRP Payment Calc'!W:W,'CHIRP Payment Calc'!H:H,A26)</f>
        <v>0</v>
      </c>
      <c r="O26" s="69">
        <f>SUMIFS('CHIRP Payment Calc'!AF:AF,'CHIRP Payment Calc'!H:H,A26)</f>
        <v>0</v>
      </c>
      <c r="P26" s="107">
        <f t="shared" si="5"/>
        <v>0</v>
      </c>
      <c r="Q26" s="69">
        <f t="shared" si="6"/>
        <v>0</v>
      </c>
      <c r="R26" s="112">
        <f t="shared" si="7"/>
        <v>0</v>
      </c>
    </row>
    <row r="27" spans="1:18">
      <c r="A27" s="24" t="s">
        <v>2493</v>
      </c>
      <c r="B27" s="89" t="s">
        <v>2392</v>
      </c>
      <c r="C27" s="89" t="s">
        <v>223</v>
      </c>
      <c r="D27" s="69">
        <v>7117143.9515842516</v>
      </c>
      <c r="E27" s="69">
        <v>4501549.5199999996</v>
      </c>
      <c r="F27" s="69">
        <v>0</v>
      </c>
      <c r="G27" s="69">
        <f>SUMIFS('CHIRP Payment Calc'!V:V,'CHIRP Payment Calc'!H:H,A27)</f>
        <v>2035000.8390053983</v>
      </c>
      <c r="H27" s="69">
        <f>SUMIFS('CHIRP Payment Calc'!AE:AE,'CHIRP Payment Calc'!H:H,A27)</f>
        <v>599156.84727826552</v>
      </c>
      <c r="I27" s="107">
        <f t="shared" si="2"/>
        <v>1.002608244940062</v>
      </c>
      <c r="J27" s="69">
        <f t="shared" si="3"/>
        <v>0</v>
      </c>
      <c r="K27" s="107">
        <f t="shared" si="4"/>
        <v>0</v>
      </c>
      <c r="L27" s="69">
        <v>0</v>
      </c>
      <c r="M27" s="69">
        <v>0</v>
      </c>
      <c r="N27" s="69">
        <f>SUMIFS('CHIRP Payment Calc'!W:W,'CHIRP Payment Calc'!H:H,A27)</f>
        <v>0</v>
      </c>
      <c r="O27" s="69">
        <f>SUMIFS('CHIRP Payment Calc'!AF:AF,'CHIRP Payment Calc'!H:H,A27)</f>
        <v>0</v>
      </c>
      <c r="P27" s="107">
        <f t="shared" si="5"/>
        <v>0</v>
      </c>
      <c r="Q27" s="69">
        <f t="shared" si="6"/>
        <v>0</v>
      </c>
      <c r="R27" s="112">
        <f t="shared" si="7"/>
        <v>0</v>
      </c>
    </row>
    <row r="28" spans="1:18">
      <c r="A28" s="24" t="s">
        <v>2499</v>
      </c>
      <c r="B28" s="89" t="s">
        <v>2291</v>
      </c>
      <c r="C28" s="89" t="s">
        <v>1548</v>
      </c>
      <c r="D28" s="69">
        <v>8206580.3293955717</v>
      </c>
      <c r="E28" s="69">
        <v>5767440.3599999994</v>
      </c>
      <c r="F28" s="69">
        <v>0</v>
      </c>
      <c r="G28" s="69">
        <f>SUMIFS('CHIRP Payment Calc'!V:V,'CHIRP Payment Calc'!H:H,A28)</f>
        <v>1642729.9994594445</v>
      </c>
      <c r="H28" s="69">
        <f>SUMIFS('CHIRP Payment Calc'!AE:AE,'CHIRP Payment Calc'!H:H,A28)</f>
        <v>611256.72286347323</v>
      </c>
      <c r="I28" s="107">
        <f t="shared" si="2"/>
        <v>0.9774384409046184</v>
      </c>
      <c r="J28" s="69">
        <f t="shared" si="3"/>
        <v>0</v>
      </c>
      <c r="K28" s="107">
        <f t="shared" si="4"/>
        <v>0</v>
      </c>
      <c r="L28" s="69">
        <v>8869586.062479822</v>
      </c>
      <c r="M28" s="69">
        <v>2993929.0600000005</v>
      </c>
      <c r="N28" s="69">
        <f>SUMIFS('CHIRP Payment Calc'!W:W,'CHIRP Payment Calc'!H:H,A28)</f>
        <v>1271362.5962253297</v>
      </c>
      <c r="O28" s="69">
        <f>SUMIFS('CHIRP Payment Calc'!AF:AF,'CHIRP Payment Calc'!H:H,A28)</f>
        <v>3274422.7934779231</v>
      </c>
      <c r="P28" s="107">
        <f t="shared" si="5"/>
        <v>0.85006384701511617</v>
      </c>
      <c r="Q28" s="69">
        <f t="shared" si="6"/>
        <v>3274422.7934779231</v>
      </c>
      <c r="R28" s="112">
        <f t="shared" si="7"/>
        <v>1</v>
      </c>
    </row>
    <row r="29" spans="1:18">
      <c r="A29" s="24" t="s">
        <v>2473</v>
      </c>
      <c r="B29" s="89" t="s">
        <v>2393</v>
      </c>
      <c r="C29" s="89" t="s">
        <v>300</v>
      </c>
      <c r="D29" s="69">
        <v>99870277.962841347</v>
      </c>
      <c r="E29" s="69">
        <v>78616530.299999997</v>
      </c>
      <c r="F29" s="69">
        <v>0</v>
      </c>
      <c r="G29" s="69">
        <f>SUMIFS('CHIRP Payment Calc'!V:V,'CHIRP Payment Calc'!H:H,A29)</f>
        <v>21814225.463610355</v>
      </c>
      <c r="H29" s="69">
        <f>SUMIFS('CHIRP Payment Calc'!AE:AE,'CHIRP Payment Calc'!H:H,A29)</f>
        <v>0</v>
      </c>
      <c r="I29" s="107">
        <f t="shared" si="2"/>
        <v>1.0056120580837629</v>
      </c>
      <c r="J29" s="69">
        <f t="shared" si="3"/>
        <v>0</v>
      </c>
      <c r="K29" s="107">
        <f t="shared" si="4"/>
        <v>0</v>
      </c>
      <c r="L29" s="69">
        <v>49977844.056091249</v>
      </c>
      <c r="M29" s="69">
        <v>28988341.949999999</v>
      </c>
      <c r="N29" s="69">
        <f>SUMIFS('CHIRP Payment Calc'!W:W,'CHIRP Payment Calc'!H:H,A29)</f>
        <v>20132448.97253431</v>
      </c>
      <c r="O29" s="69">
        <f>SUMIFS('CHIRP Payment Calc'!AF:AF,'CHIRP Payment Calc'!H:H,A29)</f>
        <v>719016.0347333682</v>
      </c>
      <c r="P29" s="107">
        <f t="shared" si="5"/>
        <v>0.99723803414431711</v>
      </c>
      <c r="Q29" s="69">
        <f t="shared" si="6"/>
        <v>0</v>
      </c>
      <c r="R29" s="112">
        <f t="shared" si="7"/>
        <v>0</v>
      </c>
    </row>
    <row r="30" spans="1:18">
      <c r="A30" s="24" t="s">
        <v>2472</v>
      </c>
      <c r="B30" s="89" t="s">
        <v>2279</v>
      </c>
      <c r="C30" s="89" t="s">
        <v>487</v>
      </c>
      <c r="D30" s="69">
        <v>547317688.73071194</v>
      </c>
      <c r="E30" s="69">
        <v>190088287.63</v>
      </c>
      <c r="F30" s="69">
        <v>57139991</v>
      </c>
      <c r="G30" s="69">
        <f>SUMIFS('CHIRP Payment Calc'!V:V,'CHIRP Payment Calc'!H:H,A30)</f>
        <v>104326839.25940312</v>
      </c>
      <c r="H30" s="69">
        <f>SUMIFS('CHIRP Payment Calc'!AE:AE,'CHIRP Payment Calc'!H:H,A30)</f>
        <v>158822973.85117775</v>
      </c>
      <c r="I30" s="107">
        <f t="shared" si="2"/>
        <v>0.93250794236927015</v>
      </c>
      <c r="J30" s="69">
        <f t="shared" si="3"/>
        <v>141030801.96823764</v>
      </c>
      <c r="K30" s="107">
        <f t="shared" si="4"/>
        <v>0.88797482220921042</v>
      </c>
      <c r="L30" s="69">
        <v>122507483.90133083</v>
      </c>
      <c r="M30" s="69">
        <v>47147299.5</v>
      </c>
      <c r="N30" s="69">
        <f>SUMIFS('CHIRP Payment Calc'!W:W,'CHIRP Payment Calc'!H:H,A30)</f>
        <v>52294102.237553932</v>
      </c>
      <c r="O30" s="69">
        <f>SUMIFS('CHIRP Payment Calc'!AF:AF,'CHIRP Payment Calc'!H:H,A30)</f>
        <v>18879126.897352215</v>
      </c>
      <c r="P30" s="107">
        <f t="shared" si="5"/>
        <v>0.96582286132170569</v>
      </c>
      <c r="Q30" s="69">
        <f t="shared" si="6"/>
        <v>10815333.773643814</v>
      </c>
      <c r="R30" s="112">
        <f t="shared" si="7"/>
        <v>0.57287256092127103</v>
      </c>
    </row>
    <row r="31" spans="1:18">
      <c r="A31" s="24" t="s">
        <v>2504</v>
      </c>
      <c r="B31" s="89" t="s">
        <v>2392</v>
      </c>
      <c r="C31" s="89" t="s">
        <v>1514</v>
      </c>
      <c r="D31" s="69">
        <v>1840096.918180766</v>
      </c>
      <c r="E31" s="69">
        <v>1501216.85</v>
      </c>
      <c r="F31" s="69">
        <v>0</v>
      </c>
      <c r="G31" s="69">
        <f>SUMIFS('CHIRP Payment Calc'!V:V,'CHIRP Payment Calc'!H:H,A31)</f>
        <v>317493.51820678631</v>
      </c>
      <c r="H31" s="69">
        <f>SUMIFS('CHIRP Payment Calc'!AE:AE,'CHIRP Payment Calc'!H:H,A31)</f>
        <v>26457.793183898862</v>
      </c>
      <c r="I31" s="107">
        <f t="shared" si="2"/>
        <v>1.002755965275423</v>
      </c>
      <c r="J31" s="69">
        <f t="shared" si="3"/>
        <v>0</v>
      </c>
      <c r="K31" s="107">
        <f t="shared" si="4"/>
        <v>0</v>
      </c>
      <c r="L31" s="69">
        <v>0</v>
      </c>
      <c r="M31" s="69">
        <v>0</v>
      </c>
      <c r="N31" s="69">
        <f>SUMIFS('CHIRP Payment Calc'!W:W,'CHIRP Payment Calc'!H:H,A31)</f>
        <v>0</v>
      </c>
      <c r="O31" s="69">
        <f>SUMIFS('CHIRP Payment Calc'!AF:AF,'CHIRP Payment Calc'!H:H,A31)</f>
        <v>0</v>
      </c>
      <c r="P31" s="107">
        <f t="shared" si="5"/>
        <v>0</v>
      </c>
      <c r="Q31" s="69">
        <f t="shared" si="6"/>
        <v>0</v>
      </c>
      <c r="R31" s="112">
        <f t="shared" si="7"/>
        <v>0</v>
      </c>
    </row>
    <row r="32" spans="1:18">
      <c r="A32" s="24" t="s">
        <v>2492</v>
      </c>
      <c r="B32" s="89" t="s">
        <v>2392</v>
      </c>
      <c r="C32" s="89" t="s">
        <v>1189</v>
      </c>
      <c r="D32" s="69">
        <v>3981883.5112490766</v>
      </c>
      <c r="E32" s="69">
        <v>514370.64</v>
      </c>
      <c r="F32" s="69">
        <v>0</v>
      </c>
      <c r="G32" s="69">
        <f>SUMIFS('CHIRP Payment Calc'!V:V,'CHIRP Payment Calc'!H:H,A32)</f>
        <v>112112.88922769428</v>
      </c>
      <c r="H32" s="69">
        <f>SUMIFS('CHIRP Payment Calc'!AE:AE,'CHIRP Payment Calc'!H:H,A32)</f>
        <v>494325.40089218767</v>
      </c>
      <c r="I32" s="107">
        <f t="shared" si="2"/>
        <v>0.28147707660295052</v>
      </c>
      <c r="J32" s="69">
        <f t="shared" si="3"/>
        <v>494325.40089218767</v>
      </c>
      <c r="K32" s="107">
        <f t="shared" si="4"/>
        <v>1</v>
      </c>
      <c r="L32" s="69">
        <v>0</v>
      </c>
      <c r="M32" s="69">
        <v>0</v>
      </c>
      <c r="N32" s="69">
        <f>SUMIFS('CHIRP Payment Calc'!W:W,'CHIRP Payment Calc'!H:H,A32)</f>
        <v>0</v>
      </c>
      <c r="O32" s="69">
        <f>SUMIFS('CHIRP Payment Calc'!AF:AF,'CHIRP Payment Calc'!H:H,A32)</f>
        <v>0</v>
      </c>
      <c r="P32" s="107">
        <f t="shared" si="5"/>
        <v>0</v>
      </c>
      <c r="Q32" s="69">
        <f t="shared" si="6"/>
        <v>0</v>
      </c>
      <c r="R32" s="112">
        <f t="shared" si="7"/>
        <v>0</v>
      </c>
    </row>
    <row r="33" spans="1:18">
      <c r="A33" s="24" t="s">
        <v>2509</v>
      </c>
      <c r="B33" s="89" t="s">
        <v>2394</v>
      </c>
      <c r="C33" s="89" t="s">
        <v>1189</v>
      </c>
      <c r="D33" s="69">
        <v>80061.405605356587</v>
      </c>
      <c r="E33" s="69">
        <v>188938.66</v>
      </c>
      <c r="F33" s="69">
        <v>0</v>
      </c>
      <c r="G33" s="69">
        <f>SUMIFS('CHIRP Payment Calc'!V:V,'CHIRP Payment Calc'!H:H,A33)</f>
        <v>53594.272741875728</v>
      </c>
      <c r="H33" s="69">
        <f>SUMIFS('CHIRP Payment Calc'!AE:AE,'CHIRP Payment Calc'!H:H,A33)</f>
        <v>0</v>
      </c>
      <c r="I33" s="107">
        <f t="shared" si="2"/>
        <v>3.0293364313060329</v>
      </c>
      <c r="J33" s="69">
        <f t="shared" si="3"/>
        <v>0</v>
      </c>
      <c r="K33" s="107">
        <f t="shared" si="4"/>
        <v>0</v>
      </c>
      <c r="L33" s="69">
        <v>0</v>
      </c>
      <c r="M33" s="69">
        <v>0</v>
      </c>
      <c r="N33" s="69">
        <f>SUMIFS('CHIRP Payment Calc'!W:W,'CHIRP Payment Calc'!H:H,A33)</f>
        <v>0</v>
      </c>
      <c r="O33" s="69">
        <f>SUMIFS('CHIRP Payment Calc'!AF:AF,'CHIRP Payment Calc'!H:H,A33)</f>
        <v>0</v>
      </c>
      <c r="P33" s="107">
        <f t="shared" si="5"/>
        <v>0</v>
      </c>
      <c r="Q33" s="69">
        <f t="shared" si="6"/>
        <v>0</v>
      </c>
      <c r="R33" s="112">
        <f t="shared" si="7"/>
        <v>0</v>
      </c>
    </row>
    <row r="34" spans="1:18">
      <c r="A34" s="24" t="s">
        <v>2479</v>
      </c>
      <c r="B34" s="89" t="s">
        <v>2279</v>
      </c>
      <c r="C34" s="89" t="s">
        <v>1189</v>
      </c>
      <c r="D34" s="69">
        <v>192449419.44083714</v>
      </c>
      <c r="E34" s="69">
        <v>49319974.640000001</v>
      </c>
      <c r="F34" s="69">
        <v>27849997</v>
      </c>
      <c r="G34" s="69">
        <f>SUMIFS('CHIRP Payment Calc'!V:V,'CHIRP Payment Calc'!H:H,A34)</f>
        <v>6715782.7964854697</v>
      </c>
      <c r="H34" s="69">
        <f>SUMIFS('CHIRP Payment Calc'!AE:AE,'CHIRP Payment Calc'!H:H,A34)</f>
        <v>92723870.69405438</v>
      </c>
      <c r="I34" s="107">
        <f t="shared" si="2"/>
        <v>0.91769372775288216</v>
      </c>
      <c r="J34" s="69">
        <f t="shared" si="3"/>
        <v>89318723.060267955</v>
      </c>
      <c r="K34" s="107">
        <f t="shared" si="4"/>
        <v>0.96327647230105584</v>
      </c>
      <c r="L34" s="69">
        <v>58876350.236361682</v>
      </c>
      <c r="M34" s="69">
        <v>17563495.970000003</v>
      </c>
      <c r="N34" s="69">
        <f>SUMIFS('CHIRP Payment Calc'!W:W,'CHIRP Payment Calc'!H:H,A34)</f>
        <v>18146239.442732405</v>
      </c>
      <c r="O34" s="69">
        <f>SUMIFS('CHIRP Payment Calc'!AF:AF,'CHIRP Payment Calc'!H:H,A34)</f>
        <v>16157352.27616425</v>
      </c>
      <c r="P34" s="107">
        <f t="shared" si="5"/>
        <v>0.88094943862304587</v>
      </c>
      <c r="Q34" s="69">
        <f t="shared" si="6"/>
        <v>16157352.27616425</v>
      </c>
      <c r="R34" s="112">
        <f t="shared" si="7"/>
        <v>1</v>
      </c>
    </row>
    <row r="35" spans="1:18">
      <c r="A35" s="24" t="s">
        <v>2462</v>
      </c>
      <c r="B35" s="89" t="s">
        <v>1547</v>
      </c>
      <c r="C35" s="89" t="s">
        <v>487</v>
      </c>
      <c r="D35" s="69">
        <v>126479954.23113717</v>
      </c>
      <c r="E35" s="69">
        <v>60794838.979999997</v>
      </c>
      <c r="F35" s="69">
        <v>0</v>
      </c>
      <c r="G35" s="69">
        <f>SUMIFS('CHIRP Payment Calc'!V:V,'CHIRP Payment Calc'!H:H,A35)</f>
        <v>20365657.996820822</v>
      </c>
      <c r="H35" s="69">
        <f>SUMIFS('CHIRP Payment Calc'!AE:AE,'CHIRP Payment Calc'!H:H,A35)</f>
        <v>31601883.098515071</v>
      </c>
      <c r="I35" s="107">
        <f t="shared" si="2"/>
        <v>0.89154349209572803</v>
      </c>
      <c r="J35" s="69">
        <f t="shared" si="3"/>
        <v>31601883.098515071</v>
      </c>
      <c r="K35" s="107">
        <f t="shared" si="4"/>
        <v>1</v>
      </c>
      <c r="L35" s="69">
        <v>50814484.410023317</v>
      </c>
      <c r="M35" s="69">
        <v>12173540.75</v>
      </c>
      <c r="N35" s="69">
        <f>SUMIFS('CHIRP Payment Calc'!W:W,'CHIRP Payment Calc'!H:H,A35)</f>
        <v>13078620.770266227</v>
      </c>
      <c r="O35" s="69">
        <f>SUMIFS('CHIRP Payment Calc'!AF:AF,'CHIRP Payment Calc'!H:H,A35)</f>
        <v>17809185.729724225</v>
      </c>
      <c r="P35" s="107">
        <f t="shared" si="5"/>
        <v>0.84742269354791411</v>
      </c>
      <c r="Q35" s="69">
        <f t="shared" si="6"/>
        <v>17809185.729724225</v>
      </c>
      <c r="R35" s="112">
        <f t="shared" si="7"/>
        <v>1</v>
      </c>
    </row>
    <row r="36" spans="1:18">
      <c r="A36" s="24" t="s">
        <v>2487</v>
      </c>
      <c r="B36" s="89" t="s">
        <v>2291</v>
      </c>
      <c r="C36" s="89" t="s">
        <v>310</v>
      </c>
      <c r="D36" s="69">
        <v>53342541.533867404</v>
      </c>
      <c r="E36" s="69">
        <v>41748852.290000007</v>
      </c>
      <c r="F36" s="69">
        <v>0</v>
      </c>
      <c r="G36" s="69">
        <f>SUMIFS('CHIRP Payment Calc'!V:V,'CHIRP Payment Calc'!H:H,A36)</f>
        <v>0</v>
      </c>
      <c r="H36" s="69">
        <f>SUMIFS('CHIRP Payment Calc'!AE:AE,'CHIRP Payment Calc'!H:H,A36)</f>
        <v>9156829.6980636884</v>
      </c>
      <c r="I36" s="107">
        <f t="shared" si="2"/>
        <v>0.95431677089745459</v>
      </c>
      <c r="J36" s="69">
        <f t="shared" si="3"/>
        <v>6259435.0904806554</v>
      </c>
      <c r="K36" s="107">
        <f t="shared" si="4"/>
        <v>0.68358103152276395</v>
      </c>
      <c r="L36" s="69">
        <v>38149679.899763629</v>
      </c>
      <c r="M36" s="69">
        <v>11702059.220000001</v>
      </c>
      <c r="N36" s="69">
        <f>SUMIFS('CHIRP Payment Calc'!W:W,'CHIRP Payment Calc'!H:H,A36)</f>
        <v>10551916.242409525</v>
      </c>
      <c r="O36" s="69">
        <f>SUMIFS('CHIRP Payment Calc'!AF:AF,'CHIRP Payment Calc'!H:H,A36)</f>
        <v>11344067.94300383</v>
      </c>
      <c r="P36" s="107">
        <f t="shared" si="5"/>
        <v>0.8806900475624051</v>
      </c>
      <c r="Q36" s="69">
        <f t="shared" si="6"/>
        <v>11344067.94300383</v>
      </c>
      <c r="R36" s="112">
        <f t="shared" si="7"/>
        <v>1</v>
      </c>
    </row>
    <row r="37" spans="1:18">
      <c r="A37" s="24" t="s">
        <v>2501</v>
      </c>
      <c r="B37" s="89" t="s">
        <v>2291</v>
      </c>
      <c r="C37" s="89" t="s">
        <v>487</v>
      </c>
      <c r="D37" s="69">
        <v>3109328.5316229523</v>
      </c>
      <c r="E37" s="69">
        <v>1533272.2000000002</v>
      </c>
      <c r="F37" s="69">
        <v>0</v>
      </c>
      <c r="G37" s="69">
        <f>SUMIFS('CHIRP Payment Calc'!V:V,'CHIRP Payment Calc'!H:H,A37)</f>
        <v>1297657.0752201271</v>
      </c>
      <c r="H37" s="69">
        <f>SUMIFS('CHIRP Payment Calc'!AE:AE,'CHIRP Payment Calc'!H:H,A37)</f>
        <v>300580.14498188853</v>
      </c>
      <c r="I37" s="107">
        <f t="shared" si="2"/>
        <v>1.0071336587155317</v>
      </c>
      <c r="J37" s="69">
        <f t="shared" si="3"/>
        <v>0</v>
      </c>
      <c r="K37" s="107">
        <f t="shared" si="4"/>
        <v>0</v>
      </c>
      <c r="L37" s="69">
        <v>3812136.3324503656</v>
      </c>
      <c r="M37" s="69">
        <v>1573272.5</v>
      </c>
      <c r="N37" s="69">
        <f>SUMIFS('CHIRP Payment Calc'!W:W,'CHIRP Payment Calc'!H:H,A37)</f>
        <v>613003.49297937716</v>
      </c>
      <c r="O37" s="69">
        <f>SUMIFS('CHIRP Payment Calc'!AF:AF,'CHIRP Payment Calc'!H:H,A37)</f>
        <v>1141058.7111712052</v>
      </c>
      <c r="P37" s="107">
        <f t="shared" si="5"/>
        <v>0.87282678634209221</v>
      </c>
      <c r="Q37" s="69">
        <f t="shared" si="6"/>
        <v>1141058.7111712052</v>
      </c>
      <c r="R37" s="112">
        <f t="shared" si="7"/>
        <v>1</v>
      </c>
    </row>
    <row r="38" spans="1:18">
      <c r="A38" s="24" t="s">
        <v>2505</v>
      </c>
      <c r="B38" s="89" t="s">
        <v>2291</v>
      </c>
      <c r="C38" s="89" t="s">
        <v>1486</v>
      </c>
      <c r="D38" s="69">
        <v>11217865.162970953</v>
      </c>
      <c r="E38" s="69">
        <v>7698821.4399999985</v>
      </c>
      <c r="F38" s="69">
        <v>0</v>
      </c>
      <c r="G38" s="69">
        <f>SUMIFS('CHIRP Payment Calc'!V:V,'CHIRP Payment Calc'!H:H,A38)</f>
        <v>1166430.9496862646</v>
      </c>
      <c r="H38" s="69">
        <f>SUMIFS('CHIRP Payment Calc'!AE:AE,'CHIRP Payment Calc'!H:H,A38)</f>
        <v>2393710.5440420429</v>
      </c>
      <c r="I38" s="107">
        <f t="shared" si="2"/>
        <v>1.0036635999952126</v>
      </c>
      <c r="J38" s="69">
        <f t="shared" si="3"/>
        <v>1230826.256987595</v>
      </c>
      <c r="K38" s="107">
        <f t="shared" si="4"/>
        <v>0.5141917681112812</v>
      </c>
      <c r="L38" s="69">
        <v>13249258.318091864</v>
      </c>
      <c r="M38" s="69">
        <v>5866112.0199999996</v>
      </c>
      <c r="N38" s="69">
        <f>SUMIFS('CHIRP Payment Calc'!W:W,'CHIRP Payment Calc'!H:H,A38)</f>
        <v>1535539.7977966904</v>
      </c>
      <c r="O38" s="69">
        <f>SUMIFS('CHIRP Payment Calc'!AF:AF,'CHIRP Payment Calc'!H:H,A38)</f>
        <v>4512153.964205455</v>
      </c>
      <c r="P38" s="107">
        <f t="shared" si="5"/>
        <v>0.89920548727877414</v>
      </c>
      <c r="Q38" s="69">
        <f t="shared" si="6"/>
        <v>4512153.964205455</v>
      </c>
      <c r="R38" s="112">
        <f t="shared" si="7"/>
        <v>1</v>
      </c>
    </row>
    <row r="39" spans="1:18">
      <c r="A39" s="24" t="s">
        <v>2500</v>
      </c>
      <c r="B39" s="89" t="s">
        <v>2291</v>
      </c>
      <c r="C39" s="89" t="s">
        <v>1202</v>
      </c>
      <c r="D39" s="69">
        <v>4516407.9732214026</v>
      </c>
      <c r="E39" s="69">
        <v>2460262.2199999997</v>
      </c>
      <c r="F39" s="69">
        <v>0</v>
      </c>
      <c r="G39" s="69">
        <f>SUMIFS('CHIRP Payment Calc'!V:V,'CHIRP Payment Calc'!H:H,A39)</f>
        <v>224823.23572930048</v>
      </c>
      <c r="H39" s="69">
        <f>SUMIFS('CHIRP Payment Calc'!AE:AE,'CHIRP Payment Calc'!H:H,A39)</f>
        <v>1269320.0839619208</v>
      </c>
      <c r="I39" s="107">
        <f t="shared" si="2"/>
        <v>0.87556428983776591</v>
      </c>
      <c r="J39" s="69">
        <f t="shared" si="3"/>
        <v>1269320.0839619208</v>
      </c>
      <c r="K39" s="107">
        <f t="shared" si="4"/>
        <v>1</v>
      </c>
      <c r="L39" s="69">
        <v>3466680.5071457955</v>
      </c>
      <c r="M39" s="69">
        <v>1781541.01</v>
      </c>
      <c r="N39" s="69">
        <f>SUMIFS('CHIRP Payment Calc'!W:W,'CHIRP Payment Calc'!H:H,A39)</f>
        <v>908504.05693719164</v>
      </c>
      <c r="O39" s="69">
        <f>SUMIFS('CHIRP Payment Calc'!AF:AF,'CHIRP Payment Calc'!H:H,A39)</f>
        <v>535580.17708522698</v>
      </c>
      <c r="P39" s="107">
        <f t="shared" si="5"/>
        <v>0.93046510555948403</v>
      </c>
      <c r="Q39" s="69">
        <f t="shared" si="6"/>
        <v>429967.38949402445</v>
      </c>
      <c r="R39" s="112">
        <f t="shared" si="7"/>
        <v>0.80280676524292582</v>
      </c>
    </row>
    <row r="40" spans="1:18">
      <c r="A40" s="24" t="s">
        <v>2463</v>
      </c>
      <c r="B40" s="89" t="s">
        <v>1547</v>
      </c>
      <c r="C40" s="89" t="s">
        <v>223</v>
      </c>
      <c r="D40" s="69">
        <v>388872345.47248197</v>
      </c>
      <c r="E40" s="69">
        <v>158390315.19</v>
      </c>
      <c r="F40" s="69">
        <v>0</v>
      </c>
      <c r="G40" s="69">
        <f>SUMIFS('CHIRP Payment Calc'!V:V,'CHIRP Payment Calc'!H:H,A40)</f>
        <v>133443800.52904308</v>
      </c>
      <c r="H40" s="69">
        <f>SUMIFS('CHIRP Payment Calc'!AE:AE,'CHIRP Payment Calc'!H:H,A40)</f>
        <v>69944767.934060425</v>
      </c>
      <c r="I40" s="107">
        <f t="shared" si="2"/>
        <v>0.9303281343226919</v>
      </c>
      <c r="J40" s="69">
        <f t="shared" si="3"/>
        <v>58150995.206190705</v>
      </c>
      <c r="K40" s="107">
        <f t="shared" si="4"/>
        <v>0.83138448984507096</v>
      </c>
      <c r="L40" s="69">
        <v>238940169.57890114</v>
      </c>
      <c r="M40" s="69">
        <v>125723216.62</v>
      </c>
      <c r="N40" s="69">
        <f>SUMIFS('CHIRP Payment Calc'!W:W,'CHIRP Payment Calc'!H:H,A40)</f>
        <v>0</v>
      </c>
      <c r="O40" s="69">
        <f>SUMIFS('CHIRP Payment Calc'!AF:AF,'CHIRP Payment Calc'!H:H,A40)</f>
        <v>79730791.056009412</v>
      </c>
      <c r="P40" s="107">
        <f t="shared" si="5"/>
        <v>0.8598554526771014</v>
      </c>
      <c r="Q40" s="69">
        <f t="shared" si="6"/>
        <v>79730791.056009412</v>
      </c>
      <c r="R40" s="112">
        <f t="shared" si="7"/>
        <v>1</v>
      </c>
    </row>
    <row r="41" spans="1:18">
      <c r="A41" s="24" t="s">
        <v>2515</v>
      </c>
      <c r="B41" s="89" t="s">
        <v>2394</v>
      </c>
      <c r="C41" s="89" t="s">
        <v>1514</v>
      </c>
      <c r="D41" s="69">
        <v>1554.4622007494813</v>
      </c>
      <c r="E41" s="69">
        <v>2185</v>
      </c>
      <c r="F41" s="69">
        <v>0</v>
      </c>
      <c r="G41" s="69">
        <f>SUMIFS('CHIRP Payment Calc'!V:V,'CHIRP Payment Calc'!H:H,A41)</f>
        <v>1371.1870182235073</v>
      </c>
      <c r="H41" s="69">
        <f>SUMIFS('CHIRP Payment Calc'!AE:AE,'CHIRP Payment Calc'!H:H,A41)</f>
        <v>0</v>
      </c>
      <c r="I41" s="107">
        <f t="shared" si="2"/>
        <v>2.2877282036892872</v>
      </c>
      <c r="J41" s="69">
        <f t="shared" si="3"/>
        <v>0</v>
      </c>
      <c r="K41" s="107">
        <f t="shared" si="4"/>
        <v>0</v>
      </c>
      <c r="L41" s="69">
        <v>0</v>
      </c>
      <c r="M41" s="69">
        <v>0</v>
      </c>
      <c r="N41" s="69">
        <f>SUMIFS('CHIRP Payment Calc'!W:W,'CHIRP Payment Calc'!H:H,A41)</f>
        <v>0</v>
      </c>
      <c r="O41" s="69">
        <f>SUMIFS('CHIRP Payment Calc'!AF:AF,'CHIRP Payment Calc'!H:H,A41)</f>
        <v>0</v>
      </c>
      <c r="P41" s="107">
        <f t="shared" si="5"/>
        <v>0</v>
      </c>
      <c r="Q41" s="69">
        <f t="shared" si="6"/>
        <v>0</v>
      </c>
      <c r="R41" s="112">
        <f t="shared" si="7"/>
        <v>0</v>
      </c>
    </row>
    <row r="42" spans="1:18">
      <c r="A42" s="24" t="s">
        <v>2486</v>
      </c>
      <c r="B42" s="89" t="s">
        <v>2291</v>
      </c>
      <c r="C42" s="89" t="s">
        <v>1514</v>
      </c>
      <c r="D42" s="69">
        <v>8852644.2247538082</v>
      </c>
      <c r="E42" s="69">
        <v>5843767.9900000002</v>
      </c>
      <c r="F42" s="69">
        <v>0</v>
      </c>
      <c r="G42" s="69">
        <f>SUMIFS('CHIRP Payment Calc'!V:V,'CHIRP Payment Calc'!H:H,A42)</f>
        <v>0</v>
      </c>
      <c r="H42" s="69">
        <f>SUMIFS('CHIRP Payment Calc'!AE:AE,'CHIRP Payment Calc'!H:H,A42)</f>
        <v>2064709.4356303778</v>
      </c>
      <c r="I42" s="107">
        <f t="shared" si="2"/>
        <v>0.89334635221379999</v>
      </c>
      <c r="J42" s="69">
        <f t="shared" si="3"/>
        <v>2064709.4356303778</v>
      </c>
      <c r="K42" s="107">
        <f t="shared" si="4"/>
        <v>1</v>
      </c>
      <c r="L42" s="69">
        <v>6690210.2840508567</v>
      </c>
      <c r="M42" s="69">
        <v>2479788.37</v>
      </c>
      <c r="N42" s="69">
        <f>SUMIFS('CHIRP Payment Calc'!W:W,'CHIRP Payment Calc'!H:H,A42)</f>
        <v>370424.75905512495</v>
      </c>
      <c r="O42" s="69">
        <f>SUMIFS('CHIRP Payment Calc'!AF:AF,'CHIRP Payment Calc'!H:H,A42)</f>
        <v>2699973.9236122076</v>
      </c>
      <c r="P42" s="107">
        <f t="shared" si="5"/>
        <v>0.82959829616995973</v>
      </c>
      <c r="Q42" s="69">
        <f t="shared" si="6"/>
        <v>2699973.9236122076</v>
      </c>
      <c r="R42" s="112">
        <f t="shared" si="7"/>
        <v>1</v>
      </c>
    </row>
    <row r="43" spans="1:18">
      <c r="A43" s="24" t="s">
        <v>2482</v>
      </c>
      <c r="B43" s="89" t="s">
        <v>2279</v>
      </c>
      <c r="C43" s="89" t="s">
        <v>227</v>
      </c>
      <c r="D43" s="69">
        <v>148127433.04338345</v>
      </c>
      <c r="E43" s="69">
        <v>45775975.920000002</v>
      </c>
      <c r="F43" s="69">
        <v>9696215</v>
      </c>
      <c r="G43" s="69">
        <f>SUMIFS('CHIRP Payment Calc'!V:V,'CHIRP Payment Calc'!H:H,A43)</f>
        <v>20928267.671197765</v>
      </c>
      <c r="H43" s="69">
        <f>SUMIFS('CHIRP Payment Calc'!AE:AE,'CHIRP Payment Calc'!H:H,A43)</f>
        <v>53252059.481921129</v>
      </c>
      <c r="I43" s="107">
        <f t="shared" si="2"/>
        <v>0.87527688429695782</v>
      </c>
      <c r="J43" s="69">
        <f t="shared" si="3"/>
        <v>53252059.481921129</v>
      </c>
      <c r="K43" s="107">
        <f t="shared" si="4"/>
        <v>1</v>
      </c>
      <c r="L43" s="69">
        <v>47679172.170661837</v>
      </c>
      <c r="M43" s="69">
        <v>12210781.92</v>
      </c>
      <c r="N43" s="69">
        <f>SUMIFS('CHIRP Payment Calc'!W:W,'CHIRP Payment Calc'!H:H,A43)</f>
        <v>25273276.012350693</v>
      </c>
      <c r="O43" s="69">
        <f>SUMIFS('CHIRP Payment Calc'!AF:AF,'CHIRP Payment Calc'!H:H,A43)</f>
        <v>14368368.736373441</v>
      </c>
      <c r="P43" s="107">
        <f t="shared" si="5"/>
        <v>1.087527830456549</v>
      </c>
      <c r="Q43" s="69">
        <f t="shared" si="6"/>
        <v>5427197.021244958</v>
      </c>
      <c r="R43" s="112">
        <f t="shared" si="7"/>
        <v>0.37771838409923603</v>
      </c>
    </row>
    <row r="44" spans="1:18">
      <c r="A44" s="24" t="s">
        <v>2465</v>
      </c>
      <c r="B44" s="89" t="s">
        <v>1547</v>
      </c>
      <c r="C44" s="89" t="s">
        <v>300</v>
      </c>
      <c r="D44" s="69">
        <v>587204492.40903187</v>
      </c>
      <c r="E44" s="69">
        <v>300110631.77999997</v>
      </c>
      <c r="F44" s="69">
        <v>0</v>
      </c>
      <c r="G44" s="69">
        <f>SUMIFS('CHIRP Payment Calc'!V:V,'CHIRP Payment Calc'!H:H,A44)</f>
        <v>367509864.10068816</v>
      </c>
      <c r="H44" s="69">
        <f>SUMIFS('CHIRP Payment Calc'!AE:AE,'CHIRP Payment Calc'!H:H,A44)</f>
        <v>0</v>
      </c>
      <c r="I44" s="107">
        <f t="shared" si="2"/>
        <v>1.1369471870723369</v>
      </c>
      <c r="J44" s="69">
        <f t="shared" si="3"/>
        <v>0</v>
      </c>
      <c r="K44" s="107">
        <f t="shared" si="4"/>
        <v>0</v>
      </c>
      <c r="L44" s="69">
        <v>262206002.93236011</v>
      </c>
      <c r="M44" s="69">
        <v>130194090.37</v>
      </c>
      <c r="N44" s="69">
        <f>SUMIFS('CHIRP Payment Calc'!W:W,'CHIRP Payment Calc'!H:H,A44)</f>
        <v>8625095.0633337963</v>
      </c>
      <c r="O44" s="69">
        <f>SUMIFS('CHIRP Payment Calc'!AF:AF,'CHIRP Payment Calc'!H:H,A44)</f>
        <v>86250950.63333796</v>
      </c>
      <c r="P44" s="107">
        <f t="shared" si="5"/>
        <v>0.85837140854754546</v>
      </c>
      <c r="Q44" s="69">
        <f t="shared" si="6"/>
        <v>86250950.63333796</v>
      </c>
      <c r="R44" s="112">
        <f t="shared" si="7"/>
        <v>1</v>
      </c>
    </row>
    <row r="45" spans="1:18">
      <c r="A45" s="24" t="s">
        <v>2475</v>
      </c>
      <c r="B45" s="89" t="s">
        <v>2279</v>
      </c>
      <c r="C45" s="89" t="s">
        <v>1514</v>
      </c>
      <c r="D45" s="69">
        <v>404411613.06198591</v>
      </c>
      <c r="E45" s="69">
        <v>125543137.39000002</v>
      </c>
      <c r="F45" s="69">
        <v>0</v>
      </c>
      <c r="G45" s="69">
        <f>SUMIFS('CHIRP Payment Calc'!V:V,'CHIRP Payment Calc'!H:H,A45)</f>
        <v>132438148.1017687</v>
      </c>
      <c r="H45" s="69">
        <f>SUMIFS('CHIRP Payment Calc'!AE:AE,'CHIRP Payment Calc'!H:H,A45)</f>
        <v>101791892.92170501</v>
      </c>
      <c r="I45" s="107">
        <f t="shared" si="2"/>
        <v>0.88962128384362138</v>
      </c>
      <c r="J45" s="69">
        <f t="shared" si="3"/>
        <v>101791892.92170501</v>
      </c>
      <c r="K45" s="107">
        <f t="shared" si="4"/>
        <v>1</v>
      </c>
      <c r="L45" s="69">
        <v>154123325.47673708</v>
      </c>
      <c r="M45" s="69">
        <v>46090404.939999998</v>
      </c>
      <c r="N45" s="69">
        <f>SUMIFS('CHIRP Payment Calc'!W:W,'CHIRP Payment Calc'!H:H,A45)</f>
        <v>58658872.975556724</v>
      </c>
      <c r="O45" s="69">
        <f>SUMIFS('CHIRP Payment Calc'!AF:AF,'CHIRP Payment Calc'!H:H,A45)</f>
        <v>35013990.433587715</v>
      </c>
      <c r="P45" s="107">
        <f t="shared" si="5"/>
        <v>0.90682748971854954</v>
      </c>
      <c r="Q45" s="69">
        <f t="shared" si="6"/>
        <v>33961715.013506658</v>
      </c>
      <c r="R45" s="112">
        <f t="shared" si="7"/>
        <v>0.96994700098302289</v>
      </c>
    </row>
    <row r="46" spans="1:18">
      <c r="A46" s="24" t="s">
        <v>2474</v>
      </c>
      <c r="B46" s="89" t="s">
        <v>2279</v>
      </c>
      <c r="C46" s="89" t="s">
        <v>1486</v>
      </c>
      <c r="D46" s="69">
        <v>189882899.51956052</v>
      </c>
      <c r="E46" s="69">
        <v>73985544.859999999</v>
      </c>
      <c r="F46" s="69">
        <v>0</v>
      </c>
      <c r="G46" s="69">
        <f>SUMIFS('CHIRP Payment Calc'!V:V,'CHIRP Payment Calc'!H:H,A46)</f>
        <v>45706135.456368916</v>
      </c>
      <c r="H46" s="69">
        <f>SUMIFS('CHIRP Payment Calc'!AE:AE,'CHIRP Payment Calc'!H:H,A46)</f>
        <v>48753254.135800406</v>
      </c>
      <c r="I46" s="107">
        <f t="shared" si="2"/>
        <v>0.88709902196757418</v>
      </c>
      <c r="J46" s="69">
        <f t="shared" si="3"/>
        <v>48753254.135800406</v>
      </c>
      <c r="K46" s="107">
        <f t="shared" si="4"/>
        <v>1</v>
      </c>
      <c r="L46" s="69">
        <v>82193602.301867843</v>
      </c>
      <c r="M46" s="69">
        <v>23406831.969999999</v>
      </c>
      <c r="N46" s="69">
        <f>SUMIFS('CHIRP Payment Calc'!W:W,'CHIRP Payment Calc'!H:H,A46)</f>
        <v>55362039.895368934</v>
      </c>
      <c r="O46" s="69">
        <f>SUMIFS('CHIRP Payment Calc'!AF:AF,'CHIRP Payment Calc'!H:H,A46)</f>
        <v>5785780.8728779927</v>
      </c>
      <c r="P46" s="107">
        <f t="shared" si="5"/>
        <v>1.028725477047566</v>
      </c>
      <c r="Q46" s="69">
        <f t="shared" si="6"/>
        <v>0</v>
      </c>
      <c r="R46" s="112">
        <f t="shared" si="7"/>
        <v>0</v>
      </c>
    </row>
    <row r="47" spans="1:18">
      <c r="A47" s="24" t="s">
        <v>2478</v>
      </c>
      <c r="B47" s="89" t="s">
        <v>2279</v>
      </c>
      <c r="C47" s="89" t="s">
        <v>1548</v>
      </c>
      <c r="D47" s="69">
        <v>132682716.21431135</v>
      </c>
      <c r="E47" s="69">
        <v>44217044.170000002</v>
      </c>
      <c r="F47" s="69">
        <v>17659406</v>
      </c>
      <c r="G47" s="69">
        <f>SUMIFS('CHIRP Payment Calc'!V:V,'CHIRP Payment Calc'!H:H,A47)</f>
        <v>19371982.470730994</v>
      </c>
      <c r="H47" s="69">
        <f>SUMIFS('CHIRP Payment Calc'!AE:AE,'CHIRP Payment Calc'!H:H,A47)</f>
        <v>36005682.531471029</v>
      </c>
      <c r="I47" s="107">
        <f t="shared" si="2"/>
        <v>0.88371807962395954</v>
      </c>
      <c r="J47" s="69">
        <f t="shared" si="3"/>
        <v>36005682.531471029</v>
      </c>
      <c r="K47" s="107">
        <f t="shared" si="4"/>
        <v>1</v>
      </c>
      <c r="L47" s="69">
        <v>35727704.226501063</v>
      </c>
      <c r="M47" s="69">
        <v>10401772.550000001</v>
      </c>
      <c r="N47" s="69">
        <f>SUMIFS('CHIRP Payment Calc'!W:W,'CHIRP Payment Calc'!H:H,A47)</f>
        <v>16049090.743367065</v>
      </c>
      <c r="O47" s="69">
        <f>SUMIFS('CHIRP Payment Calc'!AF:AF,'CHIRP Payment Calc'!H:H,A47)</f>
        <v>6399789.1918869689</v>
      </c>
      <c r="P47" s="107">
        <f t="shared" si="5"/>
        <v>0.91947280678860488</v>
      </c>
      <c r="Q47" s="69">
        <f t="shared" si="6"/>
        <v>5704070.5104838908</v>
      </c>
      <c r="R47" s="112">
        <f t="shared" si="7"/>
        <v>0.89129037526969757</v>
      </c>
    </row>
    <row r="48" spans="1:18">
      <c r="A48" s="24" t="s">
        <v>2464</v>
      </c>
      <c r="B48" s="89" t="s">
        <v>1547</v>
      </c>
      <c r="C48" s="89" t="s">
        <v>1189</v>
      </c>
      <c r="D48" s="69">
        <v>37558609.570703365</v>
      </c>
      <c r="E48" s="69">
        <v>20432365.010000002</v>
      </c>
      <c r="F48" s="69">
        <v>0</v>
      </c>
      <c r="G48" s="69">
        <f>SUMIFS('CHIRP Payment Calc'!V:V,'CHIRP Payment Calc'!H:H,A48)</f>
        <v>0</v>
      </c>
      <c r="H48" s="69">
        <f>SUMIFS('CHIRP Payment Calc'!AE:AE,'CHIRP Payment Calc'!H:H,A48)</f>
        <v>11861674.039311815</v>
      </c>
      <c r="I48" s="107">
        <f t="shared" si="2"/>
        <v>0.85983052670038029</v>
      </c>
      <c r="J48" s="69">
        <f t="shared" si="3"/>
        <v>11861674.039311815</v>
      </c>
      <c r="K48" s="107">
        <f t="shared" si="4"/>
        <v>1</v>
      </c>
      <c r="L48" s="69">
        <v>18129240.906315118</v>
      </c>
      <c r="M48" s="69">
        <v>2311396.52</v>
      </c>
      <c r="N48" s="69">
        <f>SUMIFS('CHIRP Payment Calc'!W:W,'CHIRP Payment Calc'!H:H,A48)</f>
        <v>4031440.9877126194</v>
      </c>
      <c r="O48" s="69">
        <f>SUMIFS('CHIRP Payment Calc'!AF:AF,'CHIRP Payment Calc'!H:H,A48)</f>
        <v>8235658.0177557794</v>
      </c>
      <c r="P48" s="107">
        <f t="shared" si="5"/>
        <v>0.80414263348390624</v>
      </c>
      <c r="Q48" s="69">
        <f t="shared" si="6"/>
        <v>8235658.0177557794</v>
      </c>
      <c r="R48" s="112">
        <f t="shared" si="7"/>
        <v>1</v>
      </c>
    </row>
    <row r="49" spans="1:18">
      <c r="A49" s="24" t="s">
        <v>2484</v>
      </c>
      <c r="B49" s="89" t="s">
        <v>2393</v>
      </c>
      <c r="C49" s="89" t="s">
        <v>223</v>
      </c>
      <c r="D49" s="69">
        <v>41192242.350352265</v>
      </c>
      <c r="E49" s="69">
        <v>10682906.84</v>
      </c>
      <c r="F49" s="69">
        <v>0</v>
      </c>
      <c r="G49" s="69">
        <f>SUMIFS('CHIRP Payment Calc'!V:V,'CHIRP Payment Calc'!H:H,A49)</f>
        <v>11433185.048194475</v>
      </c>
      <c r="H49" s="69">
        <f>SUMIFS('CHIRP Payment Calc'!AE:AE,'CHIRP Payment Calc'!H:H,A49)</f>
        <v>13282670.86481417</v>
      </c>
      <c r="I49" s="107">
        <f t="shared" si="2"/>
        <v>0.85935508079243783</v>
      </c>
      <c r="J49" s="69">
        <f t="shared" si="3"/>
        <v>13282670.86481417</v>
      </c>
      <c r="K49" s="107">
        <f t="shared" si="4"/>
        <v>1</v>
      </c>
      <c r="L49" s="69">
        <v>12479690.036862645</v>
      </c>
      <c r="M49" s="69">
        <v>2032005.81</v>
      </c>
      <c r="N49" s="69">
        <f>SUMIFS('CHIRP Payment Calc'!W:W,'CHIRP Payment Calc'!H:H,A49)</f>
        <v>5973947.8767510345</v>
      </c>
      <c r="O49" s="69">
        <f>SUMIFS('CHIRP Payment Calc'!AF:AF,'CHIRP Payment Calc'!H:H,A49)</f>
        <v>3133874.2960005426</v>
      </c>
      <c r="P49" s="107">
        <f t="shared" si="5"/>
        <v>0.89263659192228573</v>
      </c>
      <c r="Q49" s="69">
        <f t="shared" si="6"/>
        <v>3133874.2960005426</v>
      </c>
      <c r="R49" s="112">
        <f t="shared" si="7"/>
        <v>1</v>
      </c>
    </row>
    <row r="50" spans="1:18">
      <c r="A50" s="24" t="s">
        <v>2481</v>
      </c>
      <c r="B50" s="89" t="s">
        <v>2279</v>
      </c>
      <c r="C50" s="89" t="s">
        <v>310</v>
      </c>
      <c r="D50" s="69">
        <v>171559699.06240341</v>
      </c>
      <c r="E50" s="69">
        <v>51277082.040000007</v>
      </c>
      <c r="F50" s="69">
        <v>0</v>
      </c>
      <c r="G50" s="69">
        <f>SUMIFS('CHIRP Payment Calc'!V:V,'CHIRP Payment Calc'!H:H,A50)</f>
        <v>42955726.884370558</v>
      </c>
      <c r="H50" s="69">
        <f>SUMIFS('CHIRP Payment Calc'!AE:AE,'CHIRP Payment Calc'!H:H,A50)</f>
        <v>53902191.953438349</v>
      </c>
      <c r="I50" s="107">
        <f t="shared" si="2"/>
        <v>0.86346036794996961</v>
      </c>
      <c r="J50" s="69">
        <f t="shared" si="3"/>
        <v>53902191.953438349</v>
      </c>
      <c r="K50" s="107">
        <f t="shared" si="4"/>
        <v>1</v>
      </c>
      <c r="L50" s="69">
        <v>85966200.894142047</v>
      </c>
      <c r="M50" s="69">
        <v>13813835.559999999</v>
      </c>
      <c r="N50" s="69">
        <f>SUMIFS('CHIRP Payment Calc'!W:W,'CHIRP Payment Calc'!H:H,A50)</f>
        <v>36162210.817611359</v>
      </c>
      <c r="O50" s="69">
        <f>SUMIFS('CHIRP Payment Calc'!AF:AF,'CHIRP Payment Calc'!H:H,A50)</f>
        <v>25458316.507679835</v>
      </c>
      <c r="P50" s="107">
        <f t="shared" si="5"/>
        <v>0.87748861879077733</v>
      </c>
      <c r="Q50" s="69">
        <f t="shared" si="6"/>
        <v>25458316.507679835</v>
      </c>
      <c r="R50" s="112">
        <f t="shared" si="7"/>
        <v>1</v>
      </c>
    </row>
    <row r="51" spans="1:18">
      <c r="A51" s="24" t="s">
        <v>2483</v>
      </c>
      <c r="B51" s="89" t="s">
        <v>2279</v>
      </c>
      <c r="C51" s="89" t="s">
        <v>1550</v>
      </c>
      <c r="D51" s="69">
        <v>90881894.242626995</v>
      </c>
      <c r="E51" s="69">
        <v>19112738.59</v>
      </c>
      <c r="F51" s="69">
        <v>0</v>
      </c>
      <c r="G51" s="69">
        <f>SUMIFS('CHIRP Payment Calc'!V:V,'CHIRP Payment Calc'!H:H,A51)</f>
        <v>21037136.320796125</v>
      </c>
      <c r="H51" s="69">
        <f>SUMIFS('CHIRP Payment Calc'!AE:AE,'CHIRP Payment Calc'!H:H,A51)</f>
        <v>35365210.920939863</v>
      </c>
      <c r="I51" s="107">
        <f t="shared" si="2"/>
        <v>0.83091452330574989</v>
      </c>
      <c r="J51" s="69">
        <f t="shared" si="3"/>
        <v>35365210.920939863</v>
      </c>
      <c r="K51" s="107">
        <f t="shared" si="4"/>
        <v>1</v>
      </c>
      <c r="L51" s="69">
        <v>28968615.08396842</v>
      </c>
      <c r="M51" s="69">
        <v>6835561.54</v>
      </c>
      <c r="N51" s="69">
        <f>SUMIFS('CHIRP Payment Calc'!W:W,'CHIRP Payment Calc'!H:H,A51)</f>
        <v>14906431.038323596</v>
      </c>
      <c r="O51" s="69">
        <f>SUMIFS('CHIRP Payment Calc'!AF:AF,'CHIRP Payment Calc'!H:H,A51)</f>
        <v>4984690.1735980464</v>
      </c>
      <c r="P51" s="107">
        <f t="shared" si="5"/>
        <v>0.92260823220066568</v>
      </c>
      <c r="Q51" s="69">
        <f t="shared" si="6"/>
        <v>4329760.9972479828</v>
      </c>
      <c r="R51" s="112">
        <f t="shared" si="7"/>
        <v>0.8686118588033882</v>
      </c>
    </row>
    <row r="52" spans="1:18">
      <c r="A52" s="24" t="s">
        <v>2471</v>
      </c>
      <c r="B52" s="89" t="s">
        <v>2279</v>
      </c>
      <c r="C52" s="89" t="s">
        <v>223</v>
      </c>
      <c r="D52" s="69">
        <v>737296066.3696357</v>
      </c>
      <c r="E52" s="69">
        <v>208487637.54999995</v>
      </c>
      <c r="F52" s="69">
        <v>48491140</v>
      </c>
      <c r="G52" s="69">
        <f>SUMIFS('CHIRP Payment Calc'!V:V,'CHIRP Payment Calc'!H:H,A52)</f>
        <v>154149738.07239604</v>
      </c>
      <c r="H52" s="69">
        <f>SUMIFS('CHIRP Payment Calc'!AE:AE,'CHIRP Payment Calc'!H:H,A52)</f>
        <v>228882904.3478258</v>
      </c>
      <c r="I52" s="107">
        <f t="shared" si="2"/>
        <v>0.86805212880297489</v>
      </c>
      <c r="J52" s="69">
        <f t="shared" si="3"/>
        <v>228882904.3478258</v>
      </c>
      <c r="K52" s="107">
        <f t="shared" si="4"/>
        <v>1</v>
      </c>
      <c r="L52" s="69">
        <v>198336684.15566424</v>
      </c>
      <c r="M52" s="69">
        <v>63056753.559999987</v>
      </c>
      <c r="N52" s="69">
        <f>SUMIFS('CHIRP Payment Calc'!W:W,'CHIRP Payment Calc'!H:H,A52)</f>
        <v>41204883.564595744</v>
      </c>
      <c r="O52" s="69">
        <f>SUMIFS('CHIRP Payment Calc'!AF:AF,'CHIRP Payment Calc'!H:H,A52)</f>
        <v>65334277.613988578</v>
      </c>
      <c r="P52" s="107">
        <f t="shared" si="5"/>
        <v>0.85509100578427144</v>
      </c>
      <c r="Q52" s="69">
        <f t="shared" si="6"/>
        <v>65334277.613988578</v>
      </c>
      <c r="R52" s="112">
        <f t="shared" si="7"/>
        <v>1</v>
      </c>
    </row>
    <row r="53" spans="1:18">
      <c r="A53" s="24" t="s">
        <v>2466</v>
      </c>
      <c r="B53" s="89" t="s">
        <v>1547</v>
      </c>
      <c r="C53" s="89" t="s">
        <v>1526</v>
      </c>
      <c r="D53" s="69">
        <v>45883636.554654323</v>
      </c>
      <c r="E53" s="69">
        <v>23982840.469999999</v>
      </c>
      <c r="F53" s="69">
        <v>0</v>
      </c>
      <c r="G53" s="69">
        <f>SUMIFS('CHIRP Payment Calc'!V:V,'CHIRP Payment Calc'!H:H,A53)</f>
        <v>2813033.2208599211</v>
      </c>
      <c r="H53" s="69">
        <f>SUMIFS('CHIRP Payment Calc'!AE:AE,'CHIRP Payment Calc'!H:H,A53)</f>
        <v>13361907.799084624</v>
      </c>
      <c r="I53" s="107">
        <f t="shared" si="2"/>
        <v>0.87520921411951691</v>
      </c>
      <c r="J53" s="69">
        <f t="shared" si="3"/>
        <v>13361907.799084624</v>
      </c>
      <c r="K53" s="107">
        <f t="shared" si="4"/>
        <v>1</v>
      </c>
      <c r="L53" s="69">
        <v>27583167.20944443</v>
      </c>
      <c r="M53" s="69">
        <v>4638787.26</v>
      </c>
      <c r="N53" s="69">
        <f>SUMIFS('CHIRP Payment Calc'!W:W,'CHIRP Payment Calc'!H:H,A53)</f>
        <v>6771433.2211230518</v>
      </c>
      <c r="O53" s="69">
        <f>SUMIFS('CHIRP Payment Calc'!AF:AF,'CHIRP Payment Calc'!H:H,A53)</f>
        <v>11249316.480252814</v>
      </c>
      <c r="P53" s="107">
        <f t="shared" si="5"/>
        <v>0.8214987346927034</v>
      </c>
      <c r="Q53" s="69">
        <f t="shared" si="6"/>
        <v>11249316.480252814</v>
      </c>
      <c r="R53" s="112">
        <f t="shared" si="7"/>
        <v>1</v>
      </c>
    </row>
    <row r="54" spans="1:18">
      <c r="A54" s="24" t="s">
        <v>2476</v>
      </c>
      <c r="B54" s="89" t="s">
        <v>2279</v>
      </c>
      <c r="C54" s="89" t="s">
        <v>1365</v>
      </c>
      <c r="D54" s="69">
        <v>489670605.08886522</v>
      </c>
      <c r="E54" s="69">
        <v>120682320.54999998</v>
      </c>
      <c r="F54" s="69">
        <v>0</v>
      </c>
      <c r="G54" s="69">
        <f>SUMIFS('CHIRP Payment Calc'!V:V,'CHIRP Payment Calc'!H:H,A54)</f>
        <v>130633166.56564634</v>
      </c>
      <c r="H54" s="69">
        <f>SUMIFS('CHIRP Payment Calc'!AE:AE,'CHIRP Payment Calc'!H:H,A54)</f>
        <v>165147426.15467456</v>
      </c>
      <c r="I54" s="107">
        <f t="shared" si="2"/>
        <v>0.85049604559118142</v>
      </c>
      <c r="J54" s="69">
        <f t="shared" si="3"/>
        <v>165147426.15467456</v>
      </c>
      <c r="K54" s="107">
        <f t="shared" si="4"/>
        <v>1</v>
      </c>
      <c r="L54" s="69">
        <v>117737164.56613156</v>
      </c>
      <c r="M54" s="69">
        <v>38307382.839999996</v>
      </c>
      <c r="N54" s="69">
        <f>SUMIFS('CHIRP Payment Calc'!W:W,'CHIRP Payment Calc'!H:H,A54)</f>
        <v>42609603.590343431</v>
      </c>
      <c r="O54" s="69">
        <f>SUMIFS('CHIRP Payment Calc'!AF:AF,'CHIRP Payment Calc'!H:H,A54)</f>
        <v>25732825.213080127</v>
      </c>
      <c r="P54" s="107">
        <f t="shared" si="5"/>
        <v>0.90582962513522747</v>
      </c>
      <c r="Q54" s="69">
        <f t="shared" si="6"/>
        <v>25046461.679174975</v>
      </c>
      <c r="R54" s="112">
        <f t="shared" si="7"/>
        <v>0.97332731527837568</v>
      </c>
    </row>
    <row r="55" spans="1:18">
      <c r="A55" s="24" t="s">
        <v>2467</v>
      </c>
      <c r="B55" s="89" t="s">
        <v>1547</v>
      </c>
      <c r="C55" s="89" t="s">
        <v>1548</v>
      </c>
      <c r="D55" s="69">
        <v>164096358.44956633</v>
      </c>
      <c r="E55" s="69">
        <v>56443473.549999997</v>
      </c>
      <c r="F55" s="69">
        <v>0</v>
      </c>
      <c r="G55" s="69">
        <f>SUMIFS('CHIRP Payment Calc'!V:V,'CHIRP Payment Calc'!H:H,A55)</f>
        <v>41292198.857544333</v>
      </c>
      <c r="H55" s="69">
        <f>SUMIFS('CHIRP Payment Calc'!AE:AE,'CHIRP Payment Calc'!H:H,A55)</f>
        <v>46297313.87058001</v>
      </c>
      <c r="I55" s="107">
        <f t="shared" si="2"/>
        <v>0.87773420226379784</v>
      </c>
      <c r="J55" s="69">
        <f t="shared" si="3"/>
        <v>46297313.87058001</v>
      </c>
      <c r="K55" s="107">
        <f t="shared" si="4"/>
        <v>1</v>
      </c>
      <c r="L55" s="69">
        <v>62708361.213729672</v>
      </c>
      <c r="M55" s="69">
        <v>29936431.600000001</v>
      </c>
      <c r="N55" s="69">
        <f>SUMIFS('CHIRP Payment Calc'!W:W,'CHIRP Payment Calc'!H:H,A55)</f>
        <v>8989471.5443421993</v>
      </c>
      <c r="O55" s="69">
        <f>SUMIFS('CHIRP Payment Calc'!AF:AF,'CHIRP Payment Calc'!H:H,A55)</f>
        <v>16344493.716985816</v>
      </c>
      <c r="P55" s="107">
        <f t="shared" si="5"/>
        <v>0.88138799661737688</v>
      </c>
      <c r="Q55" s="69">
        <f t="shared" si="6"/>
        <v>16344493.716985816</v>
      </c>
      <c r="R55" s="112">
        <f t="shared" si="7"/>
        <v>1</v>
      </c>
    </row>
    <row r="56" spans="1:18">
      <c r="A56" s="24" t="s">
        <v>2480</v>
      </c>
      <c r="B56" s="89" t="s">
        <v>2279</v>
      </c>
      <c r="C56" s="89" t="s">
        <v>1202</v>
      </c>
      <c r="D56" s="69">
        <v>289791749.10905123</v>
      </c>
      <c r="E56" s="69">
        <v>94131124.559999987</v>
      </c>
      <c r="F56" s="69">
        <v>0</v>
      </c>
      <c r="G56" s="69">
        <f>SUMIFS('CHIRP Payment Calc'!V:V,'CHIRP Payment Calc'!H:H,A56)</f>
        <v>42354244.856972679</v>
      </c>
      <c r="H56" s="69">
        <f>SUMIFS('CHIRP Payment Calc'!AE:AE,'CHIRP Payment Calc'!H:H,A56)</f>
        <v>106811168.47053169</v>
      </c>
      <c r="I56" s="107">
        <f t="shared" si="2"/>
        <v>0.83955646989780131</v>
      </c>
      <c r="J56" s="69">
        <f t="shared" si="3"/>
        <v>106811168.47053169</v>
      </c>
      <c r="K56" s="107">
        <f t="shared" si="4"/>
        <v>1</v>
      </c>
      <c r="L56" s="69">
        <v>56584490.566936977</v>
      </c>
      <c r="M56" s="69">
        <v>15681936.889999999</v>
      </c>
      <c r="N56" s="69">
        <f>SUMIFS('CHIRP Payment Calc'!W:W,'CHIRP Payment Calc'!H:H,A56)</f>
        <v>32219094.568689533</v>
      </c>
      <c r="O56" s="69">
        <f>SUMIFS('CHIRP Payment Calc'!AF:AF,'CHIRP Payment Calc'!H:H,A56)</f>
        <v>7019491.9780438896</v>
      </c>
      <c r="P56" s="107">
        <f t="shared" si="5"/>
        <v>0.97059322946037396</v>
      </c>
      <c r="Q56" s="69">
        <f t="shared" si="6"/>
        <v>3025010.0515537485</v>
      </c>
      <c r="R56" s="112">
        <f>IFERROR(Q56/O56,0)</f>
        <v>0.43094429924781014</v>
      </c>
    </row>
    <row r="57" spans="1:18">
      <c r="A57" s="24" t="s">
        <v>2489</v>
      </c>
      <c r="B57" s="89" t="s">
        <v>2291</v>
      </c>
      <c r="C57" s="89" t="s">
        <v>1365</v>
      </c>
      <c r="D57" s="69">
        <v>15716616.423669685</v>
      </c>
      <c r="E57" s="69">
        <v>7343111.2599999998</v>
      </c>
      <c r="F57" s="69">
        <v>0</v>
      </c>
      <c r="G57" s="69">
        <f>SUMIFS('CHIRP Payment Calc'!V:V,'CHIRP Payment Calc'!H:H,A57)</f>
        <v>0</v>
      </c>
      <c r="H57" s="69">
        <f>SUMIFS('CHIRP Payment Calc'!AE:AE,'CHIRP Payment Calc'!H:H,A57)</f>
        <v>5813777.7415553611</v>
      </c>
      <c r="I57" s="107">
        <f t="shared" si="2"/>
        <v>0.8371324111302163</v>
      </c>
      <c r="J57" s="69">
        <f t="shared" si="3"/>
        <v>5813777.7415553611</v>
      </c>
      <c r="K57" s="107">
        <f t="shared" si="4"/>
        <v>1</v>
      </c>
      <c r="L57" s="69">
        <v>12300109.303347755</v>
      </c>
      <c r="M57" s="69">
        <v>1868058.68</v>
      </c>
      <c r="N57" s="69">
        <f>SUMIFS('CHIRP Payment Calc'!W:W,'CHIRP Payment Calc'!H:H,A57)</f>
        <v>2368802.2619495941</v>
      </c>
      <c r="O57" s="69">
        <f>SUMIFS('CHIRP Payment Calc'!AF:AF,'CHIRP Payment Calc'!H:H,A57)</f>
        <v>5604615.1107780095</v>
      </c>
      <c r="P57" s="107">
        <f t="shared" si="5"/>
        <v>0.80011289412273923</v>
      </c>
      <c r="Q57" s="69">
        <f t="shared" si="6"/>
        <v>5604615.1107780095</v>
      </c>
      <c r="R57" s="112">
        <f t="shared" si="7"/>
        <v>1</v>
      </c>
    </row>
    <row r="58" spans="1:18">
      <c r="A58" s="24" t="s">
        <v>2468</v>
      </c>
      <c r="B58" s="89" t="s">
        <v>1547</v>
      </c>
      <c r="C58" s="89" t="s">
        <v>1365</v>
      </c>
      <c r="D58" s="69">
        <v>369622195.55752361</v>
      </c>
      <c r="E58" s="69">
        <v>133434764.76000001</v>
      </c>
      <c r="F58" s="69">
        <v>0</v>
      </c>
      <c r="G58" s="69">
        <f>SUMIFS('CHIRP Payment Calc'!V:V,'CHIRP Payment Calc'!H:H,A58)</f>
        <v>87884169.335547775</v>
      </c>
      <c r="H58" s="69">
        <f>SUMIFS('CHIRP Payment Calc'!AE:AE,'CHIRP Payment Calc'!H:H,A58)</f>
        <v>102989260.94009504</v>
      </c>
      <c r="I58" s="107">
        <f t="shared" si="2"/>
        <v>0.87740454694953884</v>
      </c>
      <c r="J58" s="69">
        <f t="shared" si="3"/>
        <v>102989260.94009504</v>
      </c>
      <c r="K58" s="107">
        <f t="shared" si="4"/>
        <v>1</v>
      </c>
      <c r="L58" s="69">
        <v>130629670.06896619</v>
      </c>
      <c r="M58" s="69">
        <v>57397658.689999998</v>
      </c>
      <c r="N58" s="69">
        <f>SUMIFS('CHIRP Payment Calc'!W:W,'CHIRP Payment Calc'!H:H,A58)</f>
        <v>15106007.999966776</v>
      </c>
      <c r="O58" s="69">
        <f>SUMIFS('CHIRP Payment Calc'!AF:AF,'CHIRP Payment Calc'!H:H,A58)</f>
        <v>40282687.999911405</v>
      </c>
      <c r="P58" s="107">
        <f t="shared" si="5"/>
        <v>0.86340533992264068</v>
      </c>
      <c r="Q58" s="69">
        <f t="shared" si="6"/>
        <v>40282687.999911405</v>
      </c>
      <c r="R58" s="112">
        <f t="shared" si="7"/>
        <v>1</v>
      </c>
    </row>
    <row r="59" spans="1:18">
      <c r="A59" s="24" t="s">
        <v>2498</v>
      </c>
      <c r="B59" s="89" t="s">
        <v>2291</v>
      </c>
      <c r="C59" s="89" t="s">
        <v>223</v>
      </c>
      <c r="D59" s="69">
        <v>8156449.529022743</v>
      </c>
      <c r="E59" s="69">
        <v>2210245.6800000002</v>
      </c>
      <c r="F59" s="69">
        <v>0</v>
      </c>
      <c r="G59" s="69">
        <f>SUMIFS('CHIRP Payment Calc'!V:V,'CHIRP Payment Calc'!H:H,A59)</f>
        <v>614184.80487474147</v>
      </c>
      <c r="H59" s="69">
        <f>SUMIFS('CHIRP Payment Calc'!AE:AE,'CHIRP Payment Calc'!H:H,A59)</f>
        <v>3723495.3795531197</v>
      </c>
      <c r="I59" s="107">
        <f t="shared" si="2"/>
        <v>0.80279119500815377</v>
      </c>
      <c r="J59" s="69">
        <f t="shared" si="3"/>
        <v>3723495.3795531197</v>
      </c>
      <c r="K59" s="107">
        <f t="shared" si="4"/>
        <v>1</v>
      </c>
      <c r="L59" s="69">
        <v>4259027.1570513053</v>
      </c>
      <c r="M59" s="69">
        <v>662822.44999999995</v>
      </c>
      <c r="N59" s="69">
        <f>SUMIFS('CHIRP Payment Calc'!W:W,'CHIRP Payment Calc'!H:H,A59)</f>
        <v>1225850.8528086271</v>
      </c>
      <c r="O59" s="69">
        <f>SUMIFS('CHIRP Payment Calc'!AF:AF,'CHIRP Payment Calc'!H:H,A59)</f>
        <v>1643754.5526297498</v>
      </c>
      <c r="P59" s="107">
        <f t="shared" si="5"/>
        <v>0.82939782377063254</v>
      </c>
      <c r="Q59" s="69">
        <f t="shared" si="6"/>
        <v>1643754.5526297498</v>
      </c>
      <c r="R59" s="112">
        <f t="shared" si="7"/>
        <v>1</v>
      </c>
    </row>
    <row r="60" spans="1:18" ht="15.75" thickBot="1">
      <c r="A60" s="25" t="s">
        <v>2469</v>
      </c>
      <c r="B60" s="90" t="s">
        <v>1547</v>
      </c>
      <c r="C60" s="90" t="s">
        <v>1202</v>
      </c>
      <c r="D60" s="69">
        <v>187790270.82420689</v>
      </c>
      <c r="E60" s="69">
        <v>54544544.210000001</v>
      </c>
      <c r="F60" s="69">
        <v>0</v>
      </c>
      <c r="G60" s="69">
        <f>SUMIFS('CHIRP Payment Calc'!V:V,'CHIRP Payment Calc'!H:H,A60)</f>
        <v>0</v>
      </c>
      <c r="H60" s="69">
        <f>SUMIFS('CHIRP Payment Calc'!AE:AE,'CHIRP Payment Calc'!H:H,A60)</f>
        <v>92833506.607732683</v>
      </c>
      <c r="I60" s="107">
        <f t="shared" si="2"/>
        <v>0.78480131143585896</v>
      </c>
      <c r="J60" s="69">
        <f t="shared" si="3"/>
        <v>92833506.607732683</v>
      </c>
      <c r="K60" s="107">
        <f t="shared" si="4"/>
        <v>1</v>
      </c>
      <c r="L60" s="69">
        <v>49732395.834486321</v>
      </c>
      <c r="M60" s="69">
        <v>10212589.810000001</v>
      </c>
      <c r="N60" s="69">
        <f>SUMIFS('CHIRP Payment Calc'!W:W,'CHIRP Payment Calc'!H:H,A60)</f>
        <v>7341951.6977363229</v>
      </c>
      <c r="O60" s="69">
        <f>SUMIFS('CHIRP Payment Calc'!AF:AF,'CHIRP Payment Calc'!H:H,A60)</f>
        <v>22422717.347140659</v>
      </c>
      <c r="P60" s="113">
        <f t="shared" si="5"/>
        <v>0.80384743554130644</v>
      </c>
      <c r="Q60" s="69">
        <f t="shared" si="6"/>
        <v>22422717.347140659</v>
      </c>
      <c r="R60" s="114">
        <f t="shared" si="7"/>
        <v>1</v>
      </c>
    </row>
    <row r="62" spans="1:18">
      <c r="D62" s="86"/>
    </row>
  </sheetData>
  <autoFilter ref="A3:R60" xr:uid="{04DB4F5B-FD5F-4D83-924F-5F2B36BFB262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18A33-699F-4601-83DF-4D98681588EC}">
  <dimension ref="A1:M584"/>
  <sheetViews>
    <sheetView workbookViewId="0"/>
  </sheetViews>
  <sheetFormatPr defaultColWidth="8.796875" defaultRowHeight="15"/>
  <cols>
    <col min="1" max="1" width="11.59765625" style="9" customWidth="1"/>
    <col min="2" max="2" width="13.69921875" style="9" bestFit="1" customWidth="1"/>
    <col min="3" max="3" width="24.296875" style="9" bestFit="1" customWidth="1"/>
    <col min="4" max="4" width="10.69921875" style="9" bestFit="1" customWidth="1"/>
    <col min="5" max="5" width="10.69921875" style="14" customWidth="1"/>
    <col min="6" max="6" width="13" style="14" customWidth="1"/>
    <col min="7" max="7" width="10.69921875" style="9" customWidth="1"/>
    <col min="8" max="8" width="66.09765625" style="9" customWidth="1"/>
    <col min="9" max="9" width="10.69921875" style="9" bestFit="1" customWidth="1"/>
    <col min="10" max="10" width="11.59765625" style="9" bestFit="1" customWidth="1"/>
    <col min="11" max="11" width="13.5" style="9" bestFit="1" customWidth="1"/>
    <col min="12" max="13" width="13.5" style="9" customWidth="1"/>
    <col min="14" max="16384" width="8.796875" style="9"/>
  </cols>
  <sheetData>
    <row r="1" spans="1:13" ht="30">
      <c r="A1" s="16" t="s">
        <v>2350</v>
      </c>
      <c r="B1" s="1" t="s">
        <v>3</v>
      </c>
      <c r="C1" s="1" t="s">
        <v>2278</v>
      </c>
      <c r="D1" s="5" t="s">
        <v>1</v>
      </c>
      <c r="E1" s="12" t="s">
        <v>1755</v>
      </c>
      <c r="F1" s="12"/>
      <c r="G1" s="5" t="s">
        <v>0</v>
      </c>
      <c r="H1" s="1" t="s">
        <v>2277</v>
      </c>
      <c r="I1" s="13" t="s">
        <v>2395</v>
      </c>
      <c r="J1" s="13" t="s">
        <v>2396</v>
      </c>
      <c r="K1" s="13" t="s">
        <v>2397</v>
      </c>
      <c r="L1" s="17" t="s">
        <v>2398</v>
      </c>
      <c r="M1" s="17" t="s">
        <v>2399</v>
      </c>
    </row>
    <row r="2" spans="1:13">
      <c r="A2" s="9" t="s">
        <v>70</v>
      </c>
      <c r="B2" s="9" t="s">
        <v>487</v>
      </c>
      <c r="C2" s="9" t="s">
        <v>1594</v>
      </c>
      <c r="D2" s="4" t="s">
        <v>71</v>
      </c>
      <c r="E2" s="14" t="s">
        <v>71</v>
      </c>
      <c r="F2" s="14" t="s">
        <v>72</v>
      </c>
      <c r="G2" s="14" t="s">
        <v>70</v>
      </c>
      <c r="H2" s="9" t="s">
        <v>2272</v>
      </c>
      <c r="I2" s="3">
        <v>76988806.57060647</v>
      </c>
      <c r="J2" s="3">
        <v>241830.0694236063</v>
      </c>
      <c r="K2" s="3">
        <f>I2+J2</f>
        <v>77230636.640030071</v>
      </c>
      <c r="L2" s="3">
        <f>IFERROR(INDEX('CHIRP Payment Calc'!K:K,MATCH(A:A,'CHIRP Payment Calc'!A:A,0)),0)</f>
        <v>98053259.588283151</v>
      </c>
      <c r="M2" s="3">
        <f>K2-L2</f>
        <v>-20822622.94825308</v>
      </c>
    </row>
    <row r="3" spans="1:13">
      <c r="A3" s="9" t="s">
        <v>1339</v>
      </c>
      <c r="B3" s="9" t="s">
        <v>487</v>
      </c>
      <c r="C3" s="9" t="s">
        <v>1796</v>
      </c>
      <c r="D3" s="4" t="s">
        <v>1340</v>
      </c>
      <c r="E3" s="14" t="s">
        <v>1340</v>
      </c>
      <c r="F3" s="14" t="s">
        <v>1341</v>
      </c>
      <c r="G3" s="14" t="s">
        <v>1339</v>
      </c>
      <c r="H3" s="9" t="s">
        <v>2271</v>
      </c>
      <c r="I3" s="3">
        <v>3570795.3953771899</v>
      </c>
      <c r="J3" s="3">
        <v>0</v>
      </c>
      <c r="K3" s="3">
        <f t="shared" ref="K3:K7" si="0">I3+J3</f>
        <v>3570795.3953771899</v>
      </c>
      <c r="L3" s="3">
        <f>IFERROR(INDEX('CHIRP Payment Calc'!K:K,MATCH(A:A,'CHIRP Payment Calc'!A:A,0)),0)</f>
        <v>4546098.1784821441</v>
      </c>
      <c r="M3" s="3">
        <f t="shared" ref="M3:M7" si="1">K3-L3</f>
        <v>-975302.78310495429</v>
      </c>
    </row>
    <row r="4" spans="1:13">
      <c r="A4" s="9" t="s">
        <v>1306</v>
      </c>
      <c r="B4" s="9" t="s">
        <v>487</v>
      </c>
      <c r="C4" s="9" t="s">
        <v>1796</v>
      </c>
      <c r="D4" s="4" t="s">
        <v>1307</v>
      </c>
      <c r="E4" s="14" t="s">
        <v>1307</v>
      </c>
      <c r="F4" s="14" t="s">
        <v>1308</v>
      </c>
      <c r="G4" s="14" t="s">
        <v>1306</v>
      </c>
      <c r="H4" s="9" t="s">
        <v>2270</v>
      </c>
      <c r="I4" s="3">
        <v>3799315.0749900136</v>
      </c>
      <c r="J4" s="3">
        <v>0</v>
      </c>
      <c r="K4" s="3">
        <f t="shared" si="0"/>
        <v>3799315.0749900136</v>
      </c>
      <c r="L4" s="3">
        <f>IFERROR(INDEX('CHIRP Payment Calc'!K:K,MATCH(A:A,'CHIRP Payment Calc'!A:A,0)),0)</f>
        <v>5297196.5814906266</v>
      </c>
      <c r="M4" s="3">
        <f t="shared" si="1"/>
        <v>-1497881.5065006129</v>
      </c>
    </row>
    <row r="5" spans="1:13">
      <c r="A5" s="9" t="s">
        <v>1279</v>
      </c>
      <c r="B5" s="9" t="s">
        <v>487</v>
      </c>
      <c r="C5" s="9" t="s">
        <v>1553</v>
      </c>
      <c r="D5" s="4" t="s">
        <v>1280</v>
      </c>
      <c r="E5" s="14" t="s">
        <v>1280</v>
      </c>
      <c r="F5" s="14" t="s">
        <v>1281</v>
      </c>
      <c r="G5" s="14" t="s">
        <v>1279</v>
      </c>
      <c r="H5" s="9" t="s">
        <v>2269</v>
      </c>
      <c r="I5" s="3">
        <v>3117894.8719757926</v>
      </c>
      <c r="J5" s="3">
        <v>1179917.5109527586</v>
      </c>
      <c r="K5" s="3">
        <f t="shared" si="0"/>
        <v>4297812.3829285512</v>
      </c>
      <c r="L5" s="3">
        <f>IFERROR(INDEX('CHIRP Payment Calc'!K:K,MATCH(A:A,'CHIRP Payment Calc'!A:A,0)),0)</f>
        <v>7246129.8083548266</v>
      </c>
      <c r="M5" s="3">
        <f t="shared" si="1"/>
        <v>-2948317.4254262755</v>
      </c>
    </row>
    <row r="6" spans="1:13">
      <c r="A6" s="9" t="s">
        <v>868</v>
      </c>
      <c r="B6" s="9" t="s">
        <v>487</v>
      </c>
      <c r="C6" s="9" t="s">
        <v>222</v>
      </c>
      <c r="D6" s="4" t="s">
        <v>869</v>
      </c>
      <c r="E6" s="14" t="s">
        <v>869</v>
      </c>
      <c r="F6" s="14" t="s">
        <v>870</v>
      </c>
      <c r="G6" s="14" t="s">
        <v>868</v>
      </c>
      <c r="H6" s="9" t="s">
        <v>1658</v>
      </c>
      <c r="I6" s="3">
        <v>65850493.863207608</v>
      </c>
      <c r="J6" s="3">
        <v>28679381.649513371</v>
      </c>
      <c r="K6" s="3">
        <f t="shared" si="0"/>
        <v>94529875.512720972</v>
      </c>
      <c r="L6" s="3">
        <f>IFERROR(INDEX('CHIRP Payment Calc'!K:K,MATCH(A:A,'CHIRP Payment Calc'!A:A,0)),0)</f>
        <v>124398696.17256787</v>
      </c>
      <c r="M6" s="3">
        <f t="shared" si="1"/>
        <v>-29868820.659846902</v>
      </c>
    </row>
    <row r="7" spans="1:13">
      <c r="A7" s="9" t="s">
        <v>61</v>
      </c>
      <c r="B7" s="9" t="s">
        <v>487</v>
      </c>
      <c r="C7" s="9" t="s">
        <v>222</v>
      </c>
      <c r="D7" s="4" t="s">
        <v>62</v>
      </c>
      <c r="E7" s="14" t="s">
        <v>62</v>
      </c>
      <c r="F7" s="14" t="s">
        <v>63</v>
      </c>
      <c r="G7" s="14" t="s">
        <v>61</v>
      </c>
      <c r="H7" s="9" t="s">
        <v>2268</v>
      </c>
      <c r="I7" s="3">
        <v>6504082.1393506192</v>
      </c>
      <c r="J7" s="3">
        <v>5384755.01952135</v>
      </c>
      <c r="K7" s="3">
        <f t="shared" si="0"/>
        <v>11888837.158871969</v>
      </c>
      <c r="L7" s="3">
        <f>IFERROR(INDEX('CHIRP Payment Calc'!K:K,MATCH(A:A,'CHIRP Payment Calc'!A:A,0)),0)</f>
        <v>18710913.324610636</v>
      </c>
      <c r="M7" s="3">
        <f t="shared" si="1"/>
        <v>-6822076.1657386664</v>
      </c>
    </row>
    <row r="8" spans="1:13">
      <c r="A8" s="9" t="s">
        <v>1534</v>
      </c>
      <c r="B8" s="15" t="s">
        <v>1548</v>
      </c>
      <c r="C8" s="15" t="s">
        <v>222</v>
      </c>
      <c r="D8" s="4" t="s">
        <v>1535</v>
      </c>
      <c r="E8" s="14" t="e">
        <v>#N/A</v>
      </c>
      <c r="F8" s="14" t="e">
        <v>#N/A</v>
      </c>
      <c r="G8" s="14" t="e">
        <v>#N/A</v>
      </c>
      <c r="H8" s="9" t="s">
        <v>1874</v>
      </c>
      <c r="I8" s="3">
        <v>31543.601284080698</v>
      </c>
      <c r="J8" s="3">
        <v>194925.57687495981</v>
      </c>
      <c r="K8" s="3">
        <f t="shared" ref="K8:K71" si="2">I8+J8</f>
        <v>226469.17815904052</v>
      </c>
      <c r="L8" s="3">
        <f>IFERROR(INDEX('CHIRP Payment Calc'!K:K,MATCH(A:A,'CHIRP Payment Calc'!A:A,0)),0)</f>
        <v>0</v>
      </c>
      <c r="M8" s="3">
        <f t="shared" ref="M8:M71" si="3">K8-L8</f>
        <v>226469.17815904052</v>
      </c>
    </row>
    <row r="9" spans="1:13">
      <c r="A9" s="9" t="s">
        <v>2325</v>
      </c>
      <c r="B9" s="9" t="s">
        <v>487</v>
      </c>
      <c r="C9" s="9" t="s">
        <v>222</v>
      </c>
      <c r="D9" s="4" t="s">
        <v>2267</v>
      </c>
      <c r="E9" s="14" t="s">
        <v>2267</v>
      </c>
      <c r="F9" s="14" t="e">
        <v>#N/A</v>
      </c>
      <c r="G9" s="14" t="s">
        <v>2266</v>
      </c>
      <c r="H9" s="9" t="s">
        <v>2265</v>
      </c>
      <c r="I9" s="3">
        <v>0</v>
      </c>
      <c r="J9" s="3">
        <v>0</v>
      </c>
      <c r="K9" s="3">
        <f t="shared" si="2"/>
        <v>0</v>
      </c>
      <c r="L9" s="3">
        <f>IFERROR(INDEX('CHIRP Payment Calc'!K:K,MATCH(A:A,'CHIRP Payment Calc'!A:A,0)),0)</f>
        <v>0</v>
      </c>
      <c r="M9" s="3">
        <f t="shared" si="3"/>
        <v>0</v>
      </c>
    </row>
    <row r="10" spans="1:13">
      <c r="A10" s="9" t="s">
        <v>304</v>
      </c>
      <c r="B10" s="9" t="s">
        <v>487</v>
      </c>
      <c r="C10" s="9" t="s">
        <v>222</v>
      </c>
      <c r="D10" s="4" t="s">
        <v>305</v>
      </c>
      <c r="E10" s="14" t="s">
        <v>305</v>
      </c>
      <c r="F10" s="14" t="s">
        <v>306</v>
      </c>
      <c r="G10" s="14" t="s">
        <v>304</v>
      </c>
      <c r="H10" s="9" t="s">
        <v>2264</v>
      </c>
      <c r="I10" s="3">
        <v>2326.0203921260095</v>
      </c>
      <c r="J10" s="3">
        <v>0</v>
      </c>
      <c r="K10" s="3">
        <f t="shared" si="2"/>
        <v>2326.0203921260095</v>
      </c>
      <c r="L10" s="3">
        <f>IFERROR(INDEX('CHIRP Payment Calc'!K:K,MATCH(A:A,'CHIRP Payment Calc'!A:A,0)),0)</f>
        <v>0</v>
      </c>
      <c r="M10" s="3">
        <f t="shared" si="3"/>
        <v>2326.0203921260095</v>
      </c>
    </row>
    <row r="11" spans="1:13">
      <c r="A11" s="9" t="s">
        <v>326</v>
      </c>
      <c r="B11" s="9" t="s">
        <v>487</v>
      </c>
      <c r="C11" s="9" t="s">
        <v>222</v>
      </c>
      <c r="D11" s="4" t="s">
        <v>327</v>
      </c>
      <c r="E11" s="14" t="s">
        <v>327</v>
      </c>
      <c r="F11" s="14" t="s">
        <v>328</v>
      </c>
      <c r="G11" s="14" t="s">
        <v>326</v>
      </c>
      <c r="H11" s="9" t="s">
        <v>328</v>
      </c>
      <c r="I11" s="3">
        <v>479447.33461093827</v>
      </c>
      <c r="J11" s="3">
        <v>1214584.5285059423</v>
      </c>
      <c r="K11" s="3">
        <f t="shared" si="2"/>
        <v>1694031.8631168806</v>
      </c>
      <c r="L11" s="3">
        <f>IFERROR(INDEX('CHIRP Payment Calc'!K:K,MATCH(A:A,'CHIRP Payment Calc'!A:A,0)),0)</f>
        <v>0</v>
      </c>
      <c r="M11" s="3">
        <f t="shared" si="3"/>
        <v>1694031.8631168806</v>
      </c>
    </row>
    <row r="12" spans="1:13">
      <c r="A12" s="9" t="s">
        <v>362</v>
      </c>
      <c r="B12" s="9" t="s">
        <v>487</v>
      </c>
      <c r="C12" s="9" t="s">
        <v>222</v>
      </c>
      <c r="D12" s="4" t="s">
        <v>363</v>
      </c>
      <c r="E12" s="14" t="s">
        <v>363</v>
      </c>
      <c r="F12" s="14" t="s">
        <v>364</v>
      </c>
      <c r="G12" s="14" t="s">
        <v>362</v>
      </c>
      <c r="H12" s="9" t="s">
        <v>2263</v>
      </c>
      <c r="I12" s="3">
        <v>1152812.8071832631</v>
      </c>
      <c r="J12" s="3">
        <v>678920.45602063346</v>
      </c>
      <c r="K12" s="3">
        <f t="shared" si="2"/>
        <v>1831733.2632038966</v>
      </c>
      <c r="L12" s="3">
        <f>IFERROR(INDEX('CHIRP Payment Calc'!K:K,MATCH(A:A,'CHIRP Payment Calc'!A:A,0)),0)</f>
        <v>2869966.6168987653</v>
      </c>
      <c r="M12" s="3">
        <f t="shared" si="3"/>
        <v>-1038233.3536948687</v>
      </c>
    </row>
    <row r="13" spans="1:13">
      <c r="A13" s="9" t="s">
        <v>1462</v>
      </c>
      <c r="B13" s="9" t="s">
        <v>487</v>
      </c>
      <c r="C13" s="9" t="s">
        <v>222</v>
      </c>
      <c r="D13" s="4" t="s">
        <v>1463</v>
      </c>
      <c r="E13" s="14" t="s">
        <v>1463</v>
      </c>
      <c r="F13" s="14" t="s">
        <v>1464</v>
      </c>
      <c r="G13" s="14" t="s">
        <v>1462</v>
      </c>
      <c r="H13" s="9" t="s">
        <v>1464</v>
      </c>
      <c r="I13" s="3">
        <v>100880.47186663476</v>
      </c>
      <c r="J13" s="3">
        <v>394549.09258889226</v>
      </c>
      <c r="K13" s="3">
        <f t="shared" si="2"/>
        <v>495429.564455527</v>
      </c>
      <c r="L13" s="3">
        <f>IFERROR(INDEX('CHIRP Payment Calc'!K:K,MATCH(A:A,'CHIRP Payment Calc'!A:A,0)),0)</f>
        <v>638544.91564594745</v>
      </c>
      <c r="M13" s="3">
        <f t="shared" si="3"/>
        <v>-143115.35119042045</v>
      </c>
    </row>
    <row r="14" spans="1:13">
      <c r="A14" s="9" t="s">
        <v>210</v>
      </c>
      <c r="B14" s="9" t="s">
        <v>487</v>
      </c>
      <c r="C14" s="9" t="s">
        <v>222</v>
      </c>
      <c r="D14" s="4" t="s">
        <v>211</v>
      </c>
      <c r="E14" s="14" t="s">
        <v>211</v>
      </c>
      <c r="F14" s="14" t="s">
        <v>212</v>
      </c>
      <c r="G14" s="14" t="s">
        <v>210</v>
      </c>
      <c r="H14" s="9" t="s">
        <v>2262</v>
      </c>
      <c r="I14" s="3">
        <v>99440.615370456726</v>
      </c>
      <c r="J14" s="3">
        <v>0</v>
      </c>
      <c r="K14" s="3">
        <f t="shared" si="2"/>
        <v>99440.615370456726</v>
      </c>
      <c r="L14" s="3">
        <f>IFERROR(INDEX('CHIRP Payment Calc'!K:K,MATCH(A:A,'CHIRP Payment Calc'!A:A,0)),0)</f>
        <v>0</v>
      </c>
      <c r="M14" s="3">
        <f t="shared" si="3"/>
        <v>99440.615370456726</v>
      </c>
    </row>
    <row r="15" spans="1:13">
      <c r="A15" s="9" t="s">
        <v>777</v>
      </c>
      <c r="B15" s="9" t="s">
        <v>487</v>
      </c>
      <c r="C15" s="9" t="s">
        <v>222</v>
      </c>
      <c r="D15" s="4" t="s">
        <v>778</v>
      </c>
      <c r="E15" s="14" t="s">
        <v>778</v>
      </c>
      <c r="F15" s="14" t="s">
        <v>779</v>
      </c>
      <c r="G15" s="14" t="s">
        <v>777</v>
      </c>
      <c r="H15" s="9" t="s">
        <v>2261</v>
      </c>
      <c r="I15" s="3">
        <v>131713.12770317591</v>
      </c>
      <c r="J15" s="3">
        <v>0</v>
      </c>
      <c r="K15" s="3">
        <f t="shared" si="2"/>
        <v>131713.12770317591</v>
      </c>
      <c r="L15" s="3">
        <f>IFERROR(INDEX('CHIRP Payment Calc'!K:K,MATCH(A:A,'CHIRP Payment Calc'!A:A,0)),0)</f>
        <v>0</v>
      </c>
      <c r="M15" s="3">
        <f t="shared" si="3"/>
        <v>131713.12770317591</v>
      </c>
    </row>
    <row r="16" spans="1:13">
      <c r="A16" s="9" t="s">
        <v>1406</v>
      </c>
      <c r="B16" s="9" t="s">
        <v>487</v>
      </c>
      <c r="C16" s="9" t="s">
        <v>222</v>
      </c>
      <c r="D16" s="4" t="s">
        <v>1407</v>
      </c>
      <c r="E16" s="14" t="s">
        <v>1407</v>
      </c>
      <c r="F16" s="14" t="s">
        <v>1408</v>
      </c>
      <c r="G16" s="14" t="s">
        <v>1406</v>
      </c>
      <c r="H16" s="9" t="s">
        <v>2260</v>
      </c>
      <c r="I16" s="3">
        <v>0</v>
      </c>
      <c r="J16" s="3">
        <v>0</v>
      </c>
      <c r="K16" s="3">
        <f t="shared" si="2"/>
        <v>0</v>
      </c>
      <c r="L16" s="3">
        <f>IFERROR(INDEX('CHIRP Payment Calc'!K:K,MATCH(A:A,'CHIRP Payment Calc'!A:A,0)),0)</f>
        <v>0</v>
      </c>
      <c r="M16" s="3">
        <f t="shared" si="3"/>
        <v>0</v>
      </c>
    </row>
    <row r="17" spans="1:13">
      <c r="A17" s="9" t="s">
        <v>100</v>
      </c>
      <c r="B17" s="9" t="s">
        <v>487</v>
      </c>
      <c r="C17" s="9" t="s">
        <v>222</v>
      </c>
      <c r="D17" s="4" t="s">
        <v>101</v>
      </c>
      <c r="E17" s="14" t="s">
        <v>101</v>
      </c>
      <c r="F17" s="14" t="s">
        <v>102</v>
      </c>
      <c r="G17" s="14" t="s">
        <v>100</v>
      </c>
      <c r="H17" s="9" t="s">
        <v>2259</v>
      </c>
      <c r="I17" s="3">
        <v>0</v>
      </c>
      <c r="J17" s="3">
        <v>0</v>
      </c>
      <c r="K17" s="3">
        <f t="shared" si="2"/>
        <v>0</v>
      </c>
      <c r="L17" s="3">
        <f>IFERROR(INDEX('CHIRP Payment Calc'!K:K,MATCH(A:A,'CHIRP Payment Calc'!A:A,0)),0)</f>
        <v>0</v>
      </c>
      <c r="M17" s="3">
        <f t="shared" si="3"/>
        <v>0</v>
      </c>
    </row>
    <row r="18" spans="1:13">
      <c r="A18" s="9" t="s">
        <v>1294</v>
      </c>
      <c r="B18" s="9" t="s">
        <v>487</v>
      </c>
      <c r="C18" s="9" t="s">
        <v>222</v>
      </c>
      <c r="D18" s="4" t="s">
        <v>1295</v>
      </c>
      <c r="E18" s="14" t="s">
        <v>1295</v>
      </c>
      <c r="F18" s="14" t="s">
        <v>1296</v>
      </c>
      <c r="G18" s="14" t="s">
        <v>1294</v>
      </c>
      <c r="H18" s="9" t="s">
        <v>2258</v>
      </c>
      <c r="I18" s="3">
        <v>42152096.693772629</v>
      </c>
      <c r="J18" s="3">
        <v>18928006.269814182</v>
      </c>
      <c r="K18" s="3">
        <f t="shared" si="2"/>
        <v>61080102.963586807</v>
      </c>
      <c r="L18" s="3">
        <f>IFERROR(INDEX('CHIRP Payment Calc'!K:K,MATCH(A:A,'CHIRP Payment Calc'!A:A,0)),0)</f>
        <v>82772733.304020405</v>
      </c>
      <c r="M18" s="3">
        <f t="shared" si="3"/>
        <v>-21692630.340433598</v>
      </c>
    </row>
    <row r="19" spans="1:13">
      <c r="A19" s="9" t="s">
        <v>1193</v>
      </c>
      <c r="B19" s="9" t="s">
        <v>487</v>
      </c>
      <c r="C19" s="9" t="s">
        <v>222</v>
      </c>
      <c r="D19" s="4" t="s">
        <v>1194</v>
      </c>
      <c r="E19" s="14" t="s">
        <v>1194</v>
      </c>
      <c r="F19" s="14" t="s">
        <v>1195</v>
      </c>
      <c r="G19" s="14" t="s">
        <v>1193</v>
      </c>
      <c r="H19" s="9" t="s">
        <v>2257</v>
      </c>
      <c r="I19" s="3">
        <v>0</v>
      </c>
      <c r="J19" s="3">
        <v>0</v>
      </c>
      <c r="K19" s="3">
        <f t="shared" si="2"/>
        <v>0</v>
      </c>
      <c r="L19" s="3">
        <f>IFERROR(INDEX('CHIRP Payment Calc'!K:K,MATCH(A:A,'CHIRP Payment Calc'!A:A,0)),0)</f>
        <v>0</v>
      </c>
      <c r="M19" s="3">
        <f t="shared" si="3"/>
        <v>0</v>
      </c>
    </row>
    <row r="20" spans="1:13">
      <c r="A20" s="9" t="s">
        <v>484</v>
      </c>
      <c r="B20" s="9" t="s">
        <v>487</v>
      </c>
      <c r="C20" s="9" t="s">
        <v>222</v>
      </c>
      <c r="D20" s="4" t="s">
        <v>485</v>
      </c>
      <c r="E20" s="14" t="s">
        <v>485</v>
      </c>
      <c r="F20" s="14" t="s">
        <v>486</v>
      </c>
      <c r="G20" s="14" t="s">
        <v>484</v>
      </c>
      <c r="H20" s="9" t="s">
        <v>2256</v>
      </c>
      <c r="I20" s="3">
        <v>0</v>
      </c>
      <c r="J20" s="3">
        <v>0</v>
      </c>
      <c r="K20" s="3">
        <f t="shared" si="2"/>
        <v>0</v>
      </c>
      <c r="L20" s="3">
        <f>IFERROR(INDEX('CHIRP Payment Calc'!K:K,MATCH(A:A,'CHIRP Payment Calc'!A:A,0)),0)</f>
        <v>0</v>
      </c>
      <c r="M20" s="3">
        <f t="shared" si="3"/>
        <v>0</v>
      </c>
    </row>
    <row r="21" spans="1:13">
      <c r="A21" s="9" t="s">
        <v>865</v>
      </c>
      <c r="B21" s="9" t="s">
        <v>487</v>
      </c>
      <c r="C21" s="9" t="s">
        <v>222</v>
      </c>
      <c r="D21" s="4" t="s">
        <v>866</v>
      </c>
      <c r="E21" s="14" t="s">
        <v>866</v>
      </c>
      <c r="F21" s="14" t="s">
        <v>867</v>
      </c>
      <c r="G21" s="14" t="s">
        <v>865</v>
      </c>
      <c r="H21" s="9" t="s">
        <v>2255</v>
      </c>
      <c r="I21" s="3">
        <v>4547985.4125968656</v>
      </c>
      <c r="J21" s="3">
        <v>2244203.853237119</v>
      </c>
      <c r="K21" s="3">
        <f t="shared" si="2"/>
        <v>6792189.2658339851</v>
      </c>
      <c r="L21" s="3">
        <f>IFERROR(INDEX('CHIRP Payment Calc'!K:K,MATCH(A:A,'CHIRP Payment Calc'!A:A,0)),0)</f>
        <v>12131073.309907138</v>
      </c>
      <c r="M21" s="3">
        <f t="shared" si="3"/>
        <v>-5338884.0440731533</v>
      </c>
    </row>
    <row r="22" spans="1:13">
      <c r="A22" s="9" t="s">
        <v>132</v>
      </c>
      <c r="B22" s="9" t="s">
        <v>487</v>
      </c>
      <c r="C22" s="9" t="s">
        <v>222</v>
      </c>
      <c r="D22" s="4" t="s">
        <v>133</v>
      </c>
      <c r="E22" s="14" t="s">
        <v>133</v>
      </c>
      <c r="F22" s="14" t="s">
        <v>134</v>
      </c>
      <c r="G22" s="14" t="s">
        <v>132</v>
      </c>
      <c r="H22" s="9" t="s">
        <v>2254</v>
      </c>
      <c r="I22" s="3">
        <v>2546031.4677360537</v>
      </c>
      <c r="J22" s="3">
        <v>952260.69876638439</v>
      </c>
      <c r="K22" s="3">
        <f t="shared" si="2"/>
        <v>3498292.166502438</v>
      </c>
      <c r="L22" s="3">
        <f>IFERROR(INDEX('CHIRP Payment Calc'!K:K,MATCH(A:A,'CHIRP Payment Calc'!A:A,0)),0)</f>
        <v>5771093.9561565472</v>
      </c>
      <c r="M22" s="3">
        <f t="shared" si="3"/>
        <v>-2272801.7896541092</v>
      </c>
    </row>
    <row r="23" spans="1:13">
      <c r="A23" s="9" t="s">
        <v>332</v>
      </c>
      <c r="B23" s="9" t="s">
        <v>487</v>
      </c>
      <c r="C23" s="9" t="s">
        <v>222</v>
      </c>
      <c r="D23" s="4" t="s">
        <v>333</v>
      </c>
      <c r="E23" s="14" t="s">
        <v>333</v>
      </c>
      <c r="F23" s="14" t="s">
        <v>334</v>
      </c>
      <c r="G23" s="14" t="s">
        <v>332</v>
      </c>
      <c r="H23" s="9" t="s">
        <v>2253</v>
      </c>
      <c r="I23" s="3">
        <v>0</v>
      </c>
      <c r="J23" s="3">
        <v>0</v>
      </c>
      <c r="K23" s="3">
        <f t="shared" si="2"/>
        <v>0</v>
      </c>
      <c r="L23" s="3">
        <f>IFERROR(INDEX('CHIRP Payment Calc'!K:K,MATCH(A:A,'CHIRP Payment Calc'!A:A,0)),0)</f>
        <v>0</v>
      </c>
      <c r="M23" s="3">
        <f t="shared" si="3"/>
        <v>0</v>
      </c>
    </row>
    <row r="24" spans="1:13">
      <c r="A24" s="9" t="s">
        <v>1490</v>
      </c>
      <c r="B24" s="15" t="s">
        <v>1486</v>
      </c>
      <c r="C24" s="15" t="s">
        <v>222</v>
      </c>
      <c r="D24" s="4" t="s">
        <v>1491</v>
      </c>
      <c r="E24" s="14" t="e">
        <v>#N/A</v>
      </c>
      <c r="F24" s="14" t="e">
        <v>#N/A</v>
      </c>
      <c r="G24" s="14" t="e">
        <v>#N/A</v>
      </c>
      <c r="H24" s="9" t="s">
        <v>2000</v>
      </c>
      <c r="I24" s="3">
        <v>0</v>
      </c>
      <c r="J24" s="3">
        <v>989.89283074172374</v>
      </c>
      <c r="K24" s="3">
        <f t="shared" si="2"/>
        <v>989.89283074172374</v>
      </c>
      <c r="L24" s="3">
        <f>IFERROR(INDEX('CHIRP Payment Calc'!K:K,MATCH(A:A,'CHIRP Payment Calc'!A:A,0)),0)</f>
        <v>940.37138560240862</v>
      </c>
      <c r="M24" s="3">
        <f t="shared" si="3"/>
        <v>49.521445139315119</v>
      </c>
    </row>
    <row r="25" spans="1:13">
      <c r="A25" s="9" t="s">
        <v>1481</v>
      </c>
      <c r="B25" s="9" t="s">
        <v>487</v>
      </c>
      <c r="C25" s="9" t="s">
        <v>222</v>
      </c>
      <c r="D25" s="4" t="s">
        <v>1482</v>
      </c>
      <c r="E25" s="14" t="s">
        <v>1482</v>
      </c>
      <c r="F25" s="14" t="s">
        <v>1483</v>
      </c>
      <c r="G25" s="14" t="s">
        <v>1481</v>
      </c>
      <c r="H25" s="9" t="s">
        <v>2252</v>
      </c>
      <c r="I25" s="3">
        <v>0</v>
      </c>
      <c r="J25" s="3">
        <v>0</v>
      </c>
      <c r="K25" s="3">
        <f t="shared" si="2"/>
        <v>0</v>
      </c>
      <c r="L25" s="3">
        <f>IFERROR(INDEX('CHIRP Payment Calc'!K:K,MATCH(A:A,'CHIRP Payment Calc'!A:A,0)),0)</f>
        <v>0</v>
      </c>
      <c r="M25" s="3">
        <f t="shared" si="3"/>
        <v>0</v>
      </c>
    </row>
    <row r="26" spans="1:13">
      <c r="A26" s="9" t="s">
        <v>859</v>
      </c>
      <c r="B26" s="9" t="s">
        <v>487</v>
      </c>
      <c r="C26" s="9" t="s">
        <v>222</v>
      </c>
      <c r="D26" s="4" t="s">
        <v>860</v>
      </c>
      <c r="E26" s="14" t="s">
        <v>860</v>
      </c>
      <c r="F26" s="14" t="s">
        <v>861</v>
      </c>
      <c r="G26" s="14" t="s">
        <v>859</v>
      </c>
      <c r="H26" s="9" t="s">
        <v>2251</v>
      </c>
      <c r="I26" s="3">
        <v>854281.83489774703</v>
      </c>
      <c r="J26" s="3">
        <v>598916.23245487595</v>
      </c>
      <c r="K26" s="3">
        <f t="shared" si="2"/>
        <v>1453198.067352623</v>
      </c>
      <c r="L26" s="3">
        <f>IFERROR(INDEX('CHIRP Payment Calc'!K:K,MATCH(A:A,'CHIRP Payment Calc'!A:A,0)),0)</f>
        <v>0</v>
      </c>
      <c r="M26" s="3">
        <f t="shared" si="3"/>
        <v>1453198.067352623</v>
      </c>
    </row>
    <row r="27" spans="1:13">
      <c r="A27" s="9" t="s">
        <v>1225</v>
      </c>
      <c r="B27" s="9" t="s">
        <v>487</v>
      </c>
      <c r="C27" s="9" t="s">
        <v>222</v>
      </c>
      <c r="D27" s="4" t="s">
        <v>1226</v>
      </c>
      <c r="E27" s="14" t="s">
        <v>1226</v>
      </c>
      <c r="F27" s="14" t="s">
        <v>1227</v>
      </c>
      <c r="G27" s="14" t="s">
        <v>1225</v>
      </c>
      <c r="H27" s="9" t="s">
        <v>2250</v>
      </c>
      <c r="I27" s="3">
        <v>6033947.2766931364</v>
      </c>
      <c r="J27" s="3">
        <v>4910775.9967919663</v>
      </c>
      <c r="K27" s="3">
        <f t="shared" si="2"/>
        <v>10944723.273485102</v>
      </c>
      <c r="L27" s="3">
        <f>IFERROR(INDEX('CHIRP Payment Calc'!K:K,MATCH(A:A,'CHIRP Payment Calc'!A:A,0)),0)</f>
        <v>15474946.428974178</v>
      </c>
      <c r="M27" s="3">
        <f t="shared" si="3"/>
        <v>-4530223.1554890759</v>
      </c>
    </row>
    <row r="28" spans="1:13">
      <c r="A28" s="9" t="s">
        <v>2248</v>
      </c>
      <c r="B28" s="9" t="s">
        <v>487</v>
      </c>
      <c r="C28" s="9" t="s">
        <v>222</v>
      </c>
      <c r="D28" s="4" t="s">
        <v>2249</v>
      </c>
      <c r="E28" s="14" t="s">
        <v>2249</v>
      </c>
      <c r="F28" s="14" t="e">
        <v>#N/A</v>
      </c>
      <c r="G28" s="14" t="s">
        <v>2248</v>
      </c>
      <c r="H28" s="9" t="s">
        <v>2247</v>
      </c>
      <c r="I28" s="3">
        <v>0</v>
      </c>
      <c r="J28" s="3">
        <v>0</v>
      </c>
      <c r="K28" s="3">
        <f t="shared" si="2"/>
        <v>0</v>
      </c>
      <c r="L28" s="3">
        <f>IFERROR(INDEX('CHIRP Payment Calc'!K:K,MATCH(A:A,'CHIRP Payment Calc'!A:A,0)),0)</f>
        <v>0</v>
      </c>
      <c r="M28" s="3">
        <f t="shared" si="3"/>
        <v>0</v>
      </c>
    </row>
    <row r="29" spans="1:13">
      <c r="A29" s="9" t="s">
        <v>862</v>
      </c>
      <c r="B29" s="9" t="s">
        <v>487</v>
      </c>
      <c r="C29" s="9" t="s">
        <v>1479</v>
      </c>
      <c r="D29" s="4" t="s">
        <v>863</v>
      </c>
      <c r="E29" s="14" t="s">
        <v>863</v>
      </c>
      <c r="F29" s="14" t="s">
        <v>864</v>
      </c>
      <c r="G29" s="14" t="s">
        <v>862</v>
      </c>
      <c r="H29" s="9" t="s">
        <v>2246</v>
      </c>
      <c r="I29" s="3">
        <v>2306879.3072324959</v>
      </c>
      <c r="J29" s="3">
        <v>954560.98196195881</v>
      </c>
      <c r="K29" s="3">
        <f t="shared" si="2"/>
        <v>3261440.2891944544</v>
      </c>
      <c r="L29" s="3">
        <f>IFERROR(INDEX('CHIRP Payment Calc'!K:K,MATCH(A:A,'CHIRP Payment Calc'!A:A,0)),0)</f>
        <v>4781631.305418334</v>
      </c>
      <c r="M29" s="3">
        <f t="shared" si="3"/>
        <v>-1520191.0162238795</v>
      </c>
    </row>
    <row r="30" spans="1:13">
      <c r="A30" s="9" t="s">
        <v>831</v>
      </c>
      <c r="B30" s="9" t="s">
        <v>487</v>
      </c>
      <c r="C30" s="9" t="s">
        <v>1545</v>
      </c>
      <c r="D30" s="4" t="s">
        <v>832</v>
      </c>
      <c r="E30" s="14" t="s">
        <v>832</v>
      </c>
      <c r="F30" s="14" t="s">
        <v>833</v>
      </c>
      <c r="G30" s="14" t="s">
        <v>831</v>
      </c>
      <c r="H30" s="9" t="s">
        <v>833</v>
      </c>
      <c r="I30" s="3">
        <v>1329498.6641652437</v>
      </c>
      <c r="J30" s="3">
        <v>202644.29553635675</v>
      </c>
      <c r="K30" s="3">
        <f t="shared" si="2"/>
        <v>1532142.9597016005</v>
      </c>
      <c r="L30" s="3">
        <f>IFERROR(INDEX('CHIRP Payment Calc'!K:K,MATCH(A:A,'CHIRP Payment Calc'!A:A,0)),0)</f>
        <v>2750742.2654022332</v>
      </c>
      <c r="M30" s="3">
        <f t="shared" si="3"/>
        <v>-1218599.3057006327</v>
      </c>
    </row>
    <row r="31" spans="1:13">
      <c r="A31" s="9" t="s">
        <v>1171</v>
      </c>
      <c r="B31" s="9" t="s">
        <v>487</v>
      </c>
      <c r="C31" s="9" t="s">
        <v>1545</v>
      </c>
      <c r="D31" s="4" t="s">
        <v>1172</v>
      </c>
      <c r="E31" s="14" t="s">
        <v>1172</v>
      </c>
      <c r="F31" s="14" t="s">
        <v>1173</v>
      </c>
      <c r="G31" s="14" t="s">
        <v>1171</v>
      </c>
      <c r="H31" s="9" t="s">
        <v>2245</v>
      </c>
      <c r="I31" s="3">
        <v>992540.27055843908</v>
      </c>
      <c r="J31" s="3">
        <v>344943.89632638881</v>
      </c>
      <c r="K31" s="3">
        <f t="shared" si="2"/>
        <v>1337484.1668848279</v>
      </c>
      <c r="L31" s="3">
        <f>IFERROR(INDEX('CHIRP Payment Calc'!K:K,MATCH(A:A,'CHIRP Payment Calc'!A:A,0)),0)</f>
        <v>2296583.5028472263</v>
      </c>
      <c r="M31" s="3">
        <f t="shared" si="3"/>
        <v>-959099.33596239844</v>
      </c>
    </row>
    <row r="32" spans="1:13">
      <c r="A32" s="9" t="s">
        <v>1203</v>
      </c>
      <c r="B32" s="9" t="s">
        <v>487</v>
      </c>
      <c r="C32" s="9" t="s">
        <v>1554</v>
      </c>
      <c r="D32" s="4" t="s">
        <v>1204</v>
      </c>
      <c r="E32" s="14" t="s">
        <v>1204</v>
      </c>
      <c r="F32" s="14" t="s">
        <v>1205</v>
      </c>
      <c r="G32" s="14" t="s">
        <v>1203</v>
      </c>
      <c r="H32" s="9" t="s">
        <v>2244</v>
      </c>
      <c r="I32" s="3">
        <v>49180115.665194914</v>
      </c>
      <c r="J32" s="3">
        <v>27646465.737676527</v>
      </c>
      <c r="K32" s="3">
        <f t="shared" si="2"/>
        <v>76826581.402871445</v>
      </c>
      <c r="L32" s="3">
        <f>IFERROR(INDEX('CHIRP Payment Calc'!K:K,MATCH(A:A,'CHIRP Payment Calc'!A:A,0)),0)</f>
        <v>107012116.39482465</v>
      </c>
      <c r="M32" s="3">
        <f t="shared" si="3"/>
        <v>-30185534.991953209</v>
      </c>
    </row>
    <row r="33" spans="1:13">
      <c r="A33" s="9" t="s">
        <v>55</v>
      </c>
      <c r="B33" s="9" t="s">
        <v>223</v>
      </c>
      <c r="C33" s="9" t="s">
        <v>1594</v>
      </c>
      <c r="D33" s="4" t="s">
        <v>56</v>
      </c>
      <c r="E33" s="14" t="s">
        <v>56</v>
      </c>
      <c r="F33" s="14" t="s">
        <v>57</v>
      </c>
      <c r="G33" s="14" t="s">
        <v>55</v>
      </c>
      <c r="H33" s="9" t="s">
        <v>2243</v>
      </c>
      <c r="I33" s="3">
        <v>279674202.42857993</v>
      </c>
      <c r="J33" s="3">
        <v>787162.83325575676</v>
      </c>
      <c r="K33" s="3">
        <f t="shared" si="2"/>
        <v>280461365.26183569</v>
      </c>
      <c r="L33" s="3">
        <f>IFERROR(INDEX('CHIRP Payment Calc'!K:K,MATCH(A:A,'CHIRP Payment Calc'!A:A,0)),0)</f>
        <v>387697697.46404815</v>
      </c>
      <c r="M33" s="3">
        <f t="shared" si="3"/>
        <v>-107236332.20221245</v>
      </c>
    </row>
    <row r="34" spans="1:13">
      <c r="A34" s="9" t="s">
        <v>938</v>
      </c>
      <c r="B34" s="9" t="s">
        <v>223</v>
      </c>
      <c r="C34" s="9" t="s">
        <v>1594</v>
      </c>
      <c r="D34" s="4" t="s">
        <v>939</v>
      </c>
      <c r="E34" s="14" t="s">
        <v>939</v>
      </c>
      <c r="F34" s="14" t="s">
        <v>940</v>
      </c>
      <c r="G34" s="14" t="s">
        <v>938</v>
      </c>
      <c r="H34" s="9" t="s">
        <v>2242</v>
      </c>
      <c r="I34" s="3">
        <v>5697814.1168234637</v>
      </c>
      <c r="J34" s="3">
        <v>0</v>
      </c>
      <c r="K34" s="3">
        <f t="shared" si="2"/>
        <v>5697814.1168234637</v>
      </c>
      <c r="L34" s="3">
        <f>IFERROR(INDEX('CHIRP Payment Calc'!K:K,MATCH(A:A,'CHIRP Payment Calc'!A:A,0)),0)</f>
        <v>0</v>
      </c>
      <c r="M34" s="3">
        <f t="shared" si="3"/>
        <v>5697814.1168234637</v>
      </c>
    </row>
    <row r="35" spans="1:13">
      <c r="A35" s="9" t="s">
        <v>58</v>
      </c>
      <c r="B35" s="9" t="s">
        <v>223</v>
      </c>
      <c r="C35" s="9" t="s">
        <v>1594</v>
      </c>
      <c r="D35" s="4" t="s">
        <v>59</v>
      </c>
      <c r="E35" s="14" t="s">
        <v>59</v>
      </c>
      <c r="F35" s="14" t="s">
        <v>60</v>
      </c>
      <c r="G35" s="14" t="s">
        <v>58</v>
      </c>
      <c r="H35" s="9" t="s">
        <v>2241</v>
      </c>
      <c r="I35" s="3">
        <v>47979539.196181417</v>
      </c>
      <c r="J35" s="3">
        <v>8645.0447658013054</v>
      </c>
      <c r="K35" s="3">
        <f t="shared" si="2"/>
        <v>47988184.240947217</v>
      </c>
      <c r="L35" s="3">
        <f>IFERROR(INDEX('CHIRP Payment Calc'!K:K,MATCH(A:A,'CHIRP Payment Calc'!A:A,0)),0)</f>
        <v>68966117.218241379</v>
      </c>
      <c r="M35" s="3">
        <f t="shared" si="3"/>
        <v>-20977932.977294162</v>
      </c>
    </row>
    <row r="36" spans="1:13">
      <c r="A36" s="9" t="s">
        <v>437</v>
      </c>
      <c r="B36" s="9" t="s">
        <v>223</v>
      </c>
      <c r="C36" s="9" t="s">
        <v>1594</v>
      </c>
      <c r="D36" s="4" t="s">
        <v>438</v>
      </c>
      <c r="E36" s="14" t="s">
        <v>438</v>
      </c>
      <c r="F36" s="14" t="s">
        <v>439</v>
      </c>
      <c r="G36" s="14" t="s">
        <v>437</v>
      </c>
      <c r="H36" s="9" t="s">
        <v>2240</v>
      </c>
      <c r="I36" s="3">
        <v>4760347.2115128031</v>
      </c>
      <c r="J36" s="3">
        <v>1753.8553585577174</v>
      </c>
      <c r="K36" s="3">
        <f t="shared" si="2"/>
        <v>4762101.0668713609</v>
      </c>
      <c r="L36" s="3">
        <f>IFERROR(INDEX('CHIRP Payment Calc'!K:K,MATCH(A:A,'CHIRP Payment Calc'!A:A,0)),0)</f>
        <v>7916568.8039294826</v>
      </c>
      <c r="M36" s="3">
        <f t="shared" si="3"/>
        <v>-3154467.7370581217</v>
      </c>
    </row>
    <row r="37" spans="1:13">
      <c r="A37" s="9" t="s">
        <v>1256</v>
      </c>
      <c r="B37" s="9" t="s">
        <v>223</v>
      </c>
      <c r="C37" s="9" t="s">
        <v>1796</v>
      </c>
      <c r="D37" s="4" t="s">
        <v>1257</v>
      </c>
      <c r="E37" s="14" t="s">
        <v>1257</v>
      </c>
      <c r="F37" s="14" t="s">
        <v>1258</v>
      </c>
      <c r="G37" s="14" t="s">
        <v>1256</v>
      </c>
      <c r="H37" s="9" t="s">
        <v>2239</v>
      </c>
      <c r="I37" s="3">
        <v>1596026.2321943569</v>
      </c>
      <c r="J37" s="3">
        <v>0</v>
      </c>
      <c r="K37" s="3">
        <f t="shared" si="2"/>
        <v>1596026.2321943569</v>
      </c>
      <c r="L37" s="3">
        <f>IFERROR(INDEX('CHIRP Payment Calc'!K:K,MATCH(A:A,'CHIRP Payment Calc'!A:A,0)),0)</f>
        <v>1932420.6905834086</v>
      </c>
      <c r="M37" s="3">
        <f t="shared" si="3"/>
        <v>-336394.45838905172</v>
      </c>
    </row>
    <row r="38" spans="1:13">
      <c r="A38" s="9" t="s">
        <v>1321</v>
      </c>
      <c r="B38" s="9" t="s">
        <v>223</v>
      </c>
      <c r="C38" s="9" t="s">
        <v>1796</v>
      </c>
      <c r="D38" s="4" t="s">
        <v>1322</v>
      </c>
      <c r="E38" s="14" t="s">
        <v>1322</v>
      </c>
      <c r="F38" s="14" t="s">
        <v>1323</v>
      </c>
      <c r="G38" s="14" t="s">
        <v>1321</v>
      </c>
      <c r="H38" s="9" t="s">
        <v>2238</v>
      </c>
      <c r="I38" s="3">
        <v>0</v>
      </c>
      <c r="J38" s="3">
        <v>0</v>
      </c>
      <c r="K38" s="3">
        <f t="shared" si="2"/>
        <v>0</v>
      </c>
      <c r="L38" s="3">
        <f>IFERROR(INDEX('CHIRP Payment Calc'!K:K,MATCH(A:A,'CHIRP Payment Calc'!A:A,0)),0)</f>
        <v>0</v>
      </c>
      <c r="M38" s="3">
        <f t="shared" si="3"/>
        <v>0</v>
      </c>
    </row>
    <row r="39" spans="1:13">
      <c r="A39" s="9" t="s">
        <v>1234</v>
      </c>
      <c r="B39" s="9" t="s">
        <v>223</v>
      </c>
      <c r="C39" s="9" t="s">
        <v>1796</v>
      </c>
      <c r="D39" s="4" t="s">
        <v>1235</v>
      </c>
      <c r="E39" s="14" t="s">
        <v>1235</v>
      </c>
      <c r="F39" s="14" t="s">
        <v>1236</v>
      </c>
      <c r="G39" s="14" t="s">
        <v>1234</v>
      </c>
      <c r="H39" s="9" t="s">
        <v>2237</v>
      </c>
      <c r="I39" s="3">
        <v>3863860.1329224235</v>
      </c>
      <c r="J39" s="3">
        <v>0</v>
      </c>
      <c r="K39" s="3">
        <f t="shared" si="2"/>
        <v>3863860.1329224235</v>
      </c>
      <c r="L39" s="3">
        <f>IFERROR(INDEX('CHIRP Payment Calc'!K:K,MATCH(A:A,'CHIRP Payment Calc'!A:A,0)),0)</f>
        <v>5043225.2916450631</v>
      </c>
      <c r="M39" s="3">
        <f t="shared" si="3"/>
        <v>-1179365.1587226395</v>
      </c>
    </row>
    <row r="40" spans="1:13">
      <c r="A40" s="9" t="s">
        <v>1241</v>
      </c>
      <c r="B40" s="9" t="s">
        <v>223</v>
      </c>
      <c r="C40" s="9" t="s">
        <v>1796</v>
      </c>
      <c r="D40" s="4" t="s">
        <v>1242</v>
      </c>
      <c r="E40" s="14" t="s">
        <v>1242</v>
      </c>
      <c r="F40" s="14" t="s">
        <v>1243</v>
      </c>
      <c r="G40" s="14" t="s">
        <v>1241</v>
      </c>
      <c r="H40" s="9" t="s">
        <v>2236</v>
      </c>
      <c r="I40" s="3">
        <v>45859.13500658008</v>
      </c>
      <c r="J40" s="3">
        <v>0</v>
      </c>
      <c r="K40" s="3">
        <f t="shared" si="2"/>
        <v>45859.13500658008</v>
      </c>
      <c r="L40" s="3">
        <f>IFERROR(INDEX('CHIRP Payment Calc'!K:K,MATCH(A:A,'CHIRP Payment Calc'!A:A,0)),0)</f>
        <v>0</v>
      </c>
      <c r="M40" s="3">
        <f t="shared" si="3"/>
        <v>45859.13500658008</v>
      </c>
    </row>
    <row r="41" spans="1:13">
      <c r="A41" s="9" t="s">
        <v>2322</v>
      </c>
      <c r="B41" s="9" t="s">
        <v>223</v>
      </c>
      <c r="C41" s="9" t="s">
        <v>1796</v>
      </c>
      <c r="D41" s="4" t="s">
        <v>1443</v>
      </c>
      <c r="E41" s="14" t="s">
        <v>2322</v>
      </c>
      <c r="F41" s="14" t="e">
        <v>#N/A</v>
      </c>
      <c r="G41" s="14" t="s">
        <v>2322</v>
      </c>
      <c r="H41" s="9" t="s">
        <v>2235</v>
      </c>
      <c r="I41" s="3">
        <v>0</v>
      </c>
      <c r="J41" s="3">
        <v>0</v>
      </c>
      <c r="K41" s="3">
        <f t="shared" si="2"/>
        <v>0</v>
      </c>
      <c r="L41" s="3">
        <f>IFERROR(INDEX('CHIRP Payment Calc'!K:K,MATCH(A:A,'CHIRP Payment Calc'!A:A,0)),0)</f>
        <v>0</v>
      </c>
      <c r="M41" s="3">
        <f t="shared" si="3"/>
        <v>0</v>
      </c>
    </row>
    <row r="42" spans="1:13">
      <c r="A42" s="9" t="s">
        <v>1250</v>
      </c>
      <c r="B42" s="9" t="s">
        <v>223</v>
      </c>
      <c r="C42" s="9" t="s">
        <v>1796</v>
      </c>
      <c r="D42" s="4" t="s">
        <v>1251</v>
      </c>
      <c r="E42" s="14" t="s">
        <v>1251</v>
      </c>
      <c r="F42" s="14" t="s">
        <v>1252</v>
      </c>
      <c r="G42" s="14" t="s">
        <v>1250</v>
      </c>
      <c r="H42" s="9" t="s">
        <v>2234</v>
      </c>
      <c r="I42" s="3">
        <v>283973.55776054302</v>
      </c>
      <c r="J42" s="3">
        <v>0</v>
      </c>
      <c r="K42" s="3">
        <f t="shared" si="2"/>
        <v>283973.55776054302</v>
      </c>
      <c r="L42" s="3">
        <f>IFERROR(INDEX('CHIRP Payment Calc'!K:K,MATCH(A:A,'CHIRP Payment Calc'!A:A,0)),0)</f>
        <v>728535.90859642206</v>
      </c>
      <c r="M42" s="3">
        <f t="shared" si="3"/>
        <v>-444562.35083587904</v>
      </c>
    </row>
    <row r="43" spans="1:13">
      <c r="A43" s="9" t="s">
        <v>1247</v>
      </c>
      <c r="B43" s="9" t="s">
        <v>223</v>
      </c>
      <c r="C43" s="9" t="s">
        <v>1796</v>
      </c>
      <c r="D43" s="4" t="s">
        <v>1248</v>
      </c>
      <c r="E43" s="14" t="s">
        <v>1248</v>
      </c>
      <c r="F43" s="14" t="s">
        <v>1249</v>
      </c>
      <c r="G43" s="14" t="s">
        <v>1247</v>
      </c>
      <c r="H43" s="9" t="s">
        <v>2233</v>
      </c>
      <c r="I43" s="3">
        <v>105865.94321027974</v>
      </c>
      <c r="J43" s="3">
        <v>0</v>
      </c>
      <c r="K43" s="3">
        <f t="shared" si="2"/>
        <v>105865.94321027974</v>
      </c>
      <c r="L43" s="3">
        <f>IFERROR(INDEX('CHIRP Payment Calc'!K:K,MATCH(A:A,'CHIRP Payment Calc'!A:A,0)),0)</f>
        <v>122744.41304202302</v>
      </c>
      <c r="M43" s="3">
        <f t="shared" si="3"/>
        <v>-16878.469831743278</v>
      </c>
    </row>
    <row r="44" spans="1:13">
      <c r="A44" s="9" t="s">
        <v>762</v>
      </c>
      <c r="B44" s="9" t="s">
        <v>223</v>
      </c>
      <c r="C44" s="9" t="s">
        <v>1553</v>
      </c>
      <c r="D44" s="4" t="s">
        <v>763</v>
      </c>
      <c r="E44" s="14" t="s">
        <v>763</v>
      </c>
      <c r="F44" s="14" t="s">
        <v>764</v>
      </c>
      <c r="G44" s="14" t="s">
        <v>762</v>
      </c>
      <c r="H44" s="9" t="s">
        <v>2232</v>
      </c>
      <c r="I44" s="3">
        <v>6165415.9316114169</v>
      </c>
      <c r="J44" s="3">
        <v>2403506.240436112</v>
      </c>
      <c r="K44" s="3">
        <f t="shared" si="2"/>
        <v>8568922.1720475294</v>
      </c>
      <c r="L44" s="3">
        <f>IFERROR(INDEX('CHIRP Payment Calc'!K:K,MATCH(A:A,'CHIRP Payment Calc'!A:A,0)),0)</f>
        <v>12538801.502234399</v>
      </c>
      <c r="M44" s="3">
        <f t="shared" si="3"/>
        <v>-3969879.3301868699</v>
      </c>
    </row>
    <row r="45" spans="1:13">
      <c r="A45" s="9" t="s">
        <v>2322</v>
      </c>
      <c r="B45" s="9" t="s">
        <v>223</v>
      </c>
      <c r="C45" s="9" t="s">
        <v>222</v>
      </c>
      <c r="D45" s="4" t="s">
        <v>2231</v>
      </c>
      <c r="E45" s="14" t="s">
        <v>2322</v>
      </c>
      <c r="F45" s="14" t="e">
        <v>#N/A</v>
      </c>
      <c r="G45" s="14" t="s">
        <v>2322</v>
      </c>
      <c r="H45" s="9" t="s">
        <v>1739</v>
      </c>
      <c r="I45" s="3">
        <v>0</v>
      </c>
      <c r="J45" s="3">
        <v>0</v>
      </c>
      <c r="K45" s="3">
        <f t="shared" si="2"/>
        <v>0</v>
      </c>
      <c r="L45" s="3">
        <f>IFERROR(INDEX('CHIRP Payment Calc'!K:K,MATCH(A:A,'CHIRP Payment Calc'!A:A,0)),0)</f>
        <v>0</v>
      </c>
      <c r="M45" s="3">
        <f t="shared" si="3"/>
        <v>0</v>
      </c>
    </row>
    <row r="46" spans="1:13">
      <c r="A46" s="9" t="s">
        <v>1652</v>
      </c>
      <c r="B46" s="9" t="s">
        <v>223</v>
      </c>
      <c r="C46" s="9" t="s">
        <v>222</v>
      </c>
      <c r="D46" s="4" t="s">
        <v>1653</v>
      </c>
      <c r="E46" s="14" t="s">
        <v>1653</v>
      </c>
      <c r="F46" s="14" t="e">
        <v>#N/A</v>
      </c>
      <c r="G46" s="14" t="s">
        <v>1652</v>
      </c>
      <c r="H46" s="9" t="s">
        <v>1651</v>
      </c>
      <c r="I46" s="3">
        <v>0</v>
      </c>
      <c r="J46" s="3">
        <v>0</v>
      </c>
      <c r="K46" s="3">
        <f t="shared" si="2"/>
        <v>0</v>
      </c>
      <c r="L46" s="3">
        <f>IFERROR(INDEX('CHIRP Payment Calc'!K:K,MATCH(A:A,'CHIRP Payment Calc'!A:A,0)),0)</f>
        <v>0</v>
      </c>
      <c r="M46" s="3">
        <f t="shared" si="3"/>
        <v>0</v>
      </c>
    </row>
    <row r="47" spans="1:13">
      <c r="A47" s="9" t="s">
        <v>267</v>
      </c>
      <c r="B47" s="9" t="s">
        <v>223</v>
      </c>
      <c r="C47" s="9" t="s">
        <v>222</v>
      </c>
      <c r="D47" s="4" t="s">
        <v>268</v>
      </c>
      <c r="E47" s="14" t="s">
        <v>268</v>
      </c>
      <c r="F47" s="14" t="s">
        <v>269</v>
      </c>
      <c r="G47" s="14" t="s">
        <v>267</v>
      </c>
      <c r="H47" s="9" t="s">
        <v>2230</v>
      </c>
      <c r="I47" s="3">
        <v>3716328.226755213</v>
      </c>
      <c r="J47" s="3">
        <v>2107903.8875929681</v>
      </c>
      <c r="K47" s="3">
        <f t="shared" si="2"/>
        <v>5824232.1143481806</v>
      </c>
      <c r="L47" s="3">
        <f>IFERROR(INDEX('CHIRP Payment Calc'!K:K,MATCH(A:A,'CHIRP Payment Calc'!A:A,0)),0)</f>
        <v>8247614.6776947677</v>
      </c>
      <c r="M47" s="3">
        <f t="shared" si="3"/>
        <v>-2423382.5633465871</v>
      </c>
    </row>
    <row r="48" spans="1:13">
      <c r="A48" s="9" t="s">
        <v>1492</v>
      </c>
      <c r="B48" s="9" t="s">
        <v>223</v>
      </c>
      <c r="C48" s="9" t="s">
        <v>222</v>
      </c>
      <c r="D48" s="4" t="s">
        <v>1493</v>
      </c>
      <c r="E48" s="14" t="s">
        <v>1493</v>
      </c>
      <c r="F48" s="14" t="s">
        <v>1494</v>
      </c>
      <c r="G48" s="14" t="s">
        <v>1492</v>
      </c>
      <c r="H48" s="9" t="s">
        <v>2229</v>
      </c>
      <c r="I48" s="3">
        <v>0</v>
      </c>
      <c r="J48" s="3">
        <v>0</v>
      </c>
      <c r="K48" s="3">
        <f t="shared" si="2"/>
        <v>0</v>
      </c>
      <c r="L48" s="3">
        <f>IFERROR(INDEX('CHIRP Payment Calc'!K:K,MATCH(A:A,'CHIRP Payment Calc'!A:A,0)),0)</f>
        <v>0</v>
      </c>
      <c r="M48" s="3">
        <f t="shared" si="3"/>
        <v>0</v>
      </c>
    </row>
    <row r="49" spans="1:13">
      <c r="A49" s="9" t="s">
        <v>1567</v>
      </c>
      <c r="B49" s="9" t="s">
        <v>223</v>
      </c>
      <c r="C49" s="9" t="s">
        <v>222</v>
      </c>
      <c r="D49" s="4" t="s">
        <v>1359</v>
      </c>
      <c r="E49" s="14" t="s">
        <v>2288</v>
      </c>
      <c r="F49" s="14" t="s">
        <v>1360</v>
      </c>
      <c r="G49" s="14" t="s">
        <v>1567</v>
      </c>
      <c r="H49" s="9" t="s">
        <v>2228</v>
      </c>
      <c r="I49" s="3">
        <v>0</v>
      </c>
      <c r="J49" s="3">
        <v>0</v>
      </c>
      <c r="K49" s="3">
        <f t="shared" si="2"/>
        <v>0</v>
      </c>
      <c r="L49" s="3">
        <f>IFERROR(INDEX('CHIRP Payment Calc'!K:K,MATCH(A:A,'CHIRP Payment Calc'!A:A,0)),0)</f>
        <v>0</v>
      </c>
      <c r="M49" s="3">
        <f t="shared" si="3"/>
        <v>0</v>
      </c>
    </row>
    <row r="50" spans="1:13">
      <c r="A50" s="9" t="s">
        <v>380</v>
      </c>
      <c r="B50" s="9" t="s">
        <v>223</v>
      </c>
      <c r="C50" s="9" t="s">
        <v>222</v>
      </c>
      <c r="D50" s="4" t="s">
        <v>381</v>
      </c>
      <c r="E50" s="14" t="s">
        <v>381</v>
      </c>
      <c r="F50" s="14" t="s">
        <v>382</v>
      </c>
      <c r="G50" s="14" t="s">
        <v>380</v>
      </c>
      <c r="H50" s="9" t="s">
        <v>2227</v>
      </c>
      <c r="I50" s="3">
        <v>0</v>
      </c>
      <c r="J50" s="3">
        <v>0</v>
      </c>
      <c r="K50" s="3">
        <f t="shared" si="2"/>
        <v>0</v>
      </c>
      <c r="L50" s="3">
        <f>IFERROR(INDEX('CHIRP Payment Calc'!K:K,MATCH(A:A,'CHIRP Payment Calc'!A:A,0)),0)</f>
        <v>0</v>
      </c>
      <c r="M50" s="3">
        <f t="shared" si="3"/>
        <v>0</v>
      </c>
    </row>
    <row r="51" spans="1:13">
      <c r="A51" s="9" t="s">
        <v>971</v>
      </c>
      <c r="B51" s="9" t="s">
        <v>223</v>
      </c>
      <c r="C51" s="9" t="s">
        <v>222</v>
      </c>
      <c r="D51" s="4" t="s">
        <v>972</v>
      </c>
      <c r="E51" s="14" t="s">
        <v>972</v>
      </c>
      <c r="F51" s="14" t="s">
        <v>973</v>
      </c>
      <c r="G51" s="14" t="s">
        <v>971</v>
      </c>
      <c r="H51" s="9" t="s">
        <v>2226</v>
      </c>
      <c r="I51" s="3">
        <v>4004040.2857571137</v>
      </c>
      <c r="J51" s="3">
        <v>5744477.7540753912</v>
      </c>
      <c r="K51" s="3">
        <f t="shared" si="2"/>
        <v>9748518.0398325045</v>
      </c>
      <c r="L51" s="3">
        <f>IFERROR(INDEX('CHIRP Payment Calc'!K:K,MATCH(A:A,'CHIRP Payment Calc'!A:A,0)),0)</f>
        <v>19893361.899344567</v>
      </c>
      <c r="M51" s="3">
        <f t="shared" si="3"/>
        <v>-10144843.859512063</v>
      </c>
    </row>
    <row r="52" spans="1:13">
      <c r="A52" s="9" t="s">
        <v>34</v>
      </c>
      <c r="B52" s="9" t="s">
        <v>223</v>
      </c>
      <c r="C52" s="9" t="s">
        <v>222</v>
      </c>
      <c r="D52" s="4" t="s">
        <v>35</v>
      </c>
      <c r="E52" s="14" t="s">
        <v>35</v>
      </c>
      <c r="F52" s="14" t="s">
        <v>36</v>
      </c>
      <c r="G52" s="14" t="s">
        <v>34</v>
      </c>
      <c r="H52" s="9" t="s">
        <v>2225</v>
      </c>
      <c r="I52" s="3">
        <v>1502643.4178047571</v>
      </c>
      <c r="J52" s="3">
        <v>292783.03197383281</v>
      </c>
      <c r="K52" s="3">
        <f t="shared" si="2"/>
        <v>1795426.4497785899</v>
      </c>
      <c r="L52" s="3">
        <f>IFERROR(INDEX('CHIRP Payment Calc'!K:K,MATCH(A:A,'CHIRP Payment Calc'!A:A,0)),0)</f>
        <v>2765211.0486127087</v>
      </c>
      <c r="M52" s="3">
        <f t="shared" si="3"/>
        <v>-969784.59883411881</v>
      </c>
    </row>
    <row r="53" spans="1:13">
      <c r="A53" s="9" t="s">
        <v>1413</v>
      </c>
      <c r="B53" s="9" t="s">
        <v>223</v>
      </c>
      <c r="C53" s="9" t="s">
        <v>222</v>
      </c>
      <c r="D53" s="4" t="s">
        <v>1414</v>
      </c>
      <c r="E53" s="14" t="s">
        <v>1414</v>
      </c>
      <c r="F53" s="14" t="s">
        <v>1415</v>
      </c>
      <c r="G53" s="14" t="s">
        <v>1413</v>
      </c>
      <c r="H53" s="9" t="s">
        <v>2224</v>
      </c>
      <c r="I53" s="3">
        <v>0</v>
      </c>
      <c r="J53" s="3">
        <v>225040.76323856658</v>
      </c>
      <c r="K53" s="3">
        <f t="shared" si="2"/>
        <v>225040.76323856658</v>
      </c>
      <c r="L53" s="3">
        <f>IFERROR(INDEX('CHIRP Payment Calc'!K:K,MATCH(A:A,'CHIRP Payment Calc'!A:A,0)),0)</f>
        <v>274231.86946788814</v>
      </c>
      <c r="M53" s="3">
        <f t="shared" si="3"/>
        <v>-49191.106229321565</v>
      </c>
    </row>
    <row r="54" spans="1:13">
      <c r="A54" s="9" t="s">
        <v>377</v>
      </c>
      <c r="B54" s="9" t="s">
        <v>223</v>
      </c>
      <c r="C54" s="9" t="s">
        <v>222</v>
      </c>
      <c r="D54" s="4" t="s">
        <v>378</v>
      </c>
      <c r="E54" s="14" t="s">
        <v>378</v>
      </c>
      <c r="F54" s="14" t="s">
        <v>379</v>
      </c>
      <c r="G54" s="14" t="s">
        <v>377</v>
      </c>
      <c r="H54" s="9" t="s">
        <v>2223</v>
      </c>
      <c r="I54" s="3">
        <v>0</v>
      </c>
      <c r="J54" s="3">
        <v>0</v>
      </c>
      <c r="K54" s="3">
        <f t="shared" si="2"/>
        <v>0</v>
      </c>
      <c r="L54" s="3">
        <f>IFERROR(INDEX('CHIRP Payment Calc'!K:K,MATCH(A:A,'CHIRP Payment Calc'!A:A,0)),0)</f>
        <v>0</v>
      </c>
      <c r="M54" s="3">
        <f t="shared" si="3"/>
        <v>0</v>
      </c>
    </row>
    <row r="55" spans="1:13">
      <c r="A55" s="9" t="s">
        <v>783</v>
      </c>
      <c r="B55" s="9" t="s">
        <v>223</v>
      </c>
      <c r="C55" s="9" t="s">
        <v>222</v>
      </c>
      <c r="D55" s="4" t="s">
        <v>784</v>
      </c>
      <c r="E55" s="14" t="s">
        <v>784</v>
      </c>
      <c r="F55" s="14" t="s">
        <v>785</v>
      </c>
      <c r="G55" s="14" t="s">
        <v>783</v>
      </c>
      <c r="H55" s="9" t="s">
        <v>2222</v>
      </c>
      <c r="I55" s="3">
        <v>4367268.7291392339</v>
      </c>
      <c r="J55" s="3">
        <v>1494517.2098827362</v>
      </c>
      <c r="K55" s="3">
        <f t="shared" si="2"/>
        <v>5861785.9390219701</v>
      </c>
      <c r="L55" s="3">
        <f>IFERROR(INDEX('CHIRP Payment Calc'!K:K,MATCH(A:A,'CHIRP Payment Calc'!A:A,0)),0)</f>
        <v>9110748.1446301825</v>
      </c>
      <c r="M55" s="3">
        <f t="shared" si="3"/>
        <v>-3248962.2056082124</v>
      </c>
    </row>
    <row r="56" spans="1:13">
      <c r="A56" s="9" t="s">
        <v>1128</v>
      </c>
      <c r="B56" s="9" t="s">
        <v>223</v>
      </c>
      <c r="C56" s="9" t="s">
        <v>222</v>
      </c>
      <c r="D56" s="4" t="s">
        <v>1129</v>
      </c>
      <c r="E56" s="14" t="s">
        <v>1129</v>
      </c>
      <c r="F56" s="14" t="s">
        <v>1130</v>
      </c>
      <c r="G56" s="14" t="s">
        <v>1128</v>
      </c>
      <c r="H56" s="9" t="s">
        <v>1130</v>
      </c>
      <c r="I56" s="3">
        <v>8938.8246750786857</v>
      </c>
      <c r="J56" s="3">
        <v>987.39054526553946</v>
      </c>
      <c r="K56" s="3">
        <f t="shared" si="2"/>
        <v>9926.2152203442256</v>
      </c>
      <c r="L56" s="3">
        <f>IFERROR(INDEX('CHIRP Payment Calc'!K:K,MATCH(A:A,'CHIRP Payment Calc'!A:A,0)),0)</f>
        <v>0</v>
      </c>
      <c r="M56" s="3">
        <f t="shared" si="3"/>
        <v>9926.2152203442256</v>
      </c>
    </row>
    <row r="57" spans="1:13">
      <c r="A57" s="9" t="s">
        <v>434</v>
      </c>
      <c r="B57" s="9" t="s">
        <v>223</v>
      </c>
      <c r="C57" s="9" t="s">
        <v>222</v>
      </c>
      <c r="D57" s="4" t="s">
        <v>435</v>
      </c>
      <c r="E57" s="14" t="s">
        <v>435</v>
      </c>
      <c r="F57" s="14" t="s">
        <v>436</v>
      </c>
      <c r="G57" s="14" t="s">
        <v>434</v>
      </c>
      <c r="H57" s="9" t="s">
        <v>2221</v>
      </c>
      <c r="I57" s="3">
        <v>379984.38645528158</v>
      </c>
      <c r="J57" s="3">
        <v>1281255.4434707561</v>
      </c>
      <c r="K57" s="3">
        <f t="shared" si="2"/>
        <v>1661239.8299260377</v>
      </c>
      <c r="L57" s="3">
        <f>IFERROR(INDEX('CHIRP Payment Calc'!K:K,MATCH(A:A,'CHIRP Payment Calc'!A:A,0)),0)</f>
        <v>0</v>
      </c>
      <c r="M57" s="3">
        <f t="shared" si="3"/>
        <v>1661239.8299260377</v>
      </c>
    </row>
    <row r="58" spans="1:13">
      <c r="A58" s="9" t="s">
        <v>518</v>
      </c>
      <c r="B58" s="9" t="s">
        <v>223</v>
      </c>
      <c r="C58" s="9" t="s">
        <v>222</v>
      </c>
      <c r="D58" s="4" t="s">
        <v>519</v>
      </c>
      <c r="E58" s="14" t="s">
        <v>519</v>
      </c>
      <c r="F58" s="14" t="s">
        <v>520</v>
      </c>
      <c r="G58" s="14" t="s">
        <v>518</v>
      </c>
      <c r="H58" s="9" t="s">
        <v>1716</v>
      </c>
      <c r="I58" s="3">
        <v>1494188.2999223873</v>
      </c>
      <c r="J58" s="3">
        <v>648041.21290250379</v>
      </c>
      <c r="K58" s="3">
        <f t="shared" si="2"/>
        <v>2142229.5128248911</v>
      </c>
      <c r="L58" s="3">
        <f>IFERROR(INDEX('CHIRP Payment Calc'!K:K,MATCH(A:A,'CHIRP Payment Calc'!A:A,0)),0)</f>
        <v>3486274.7779846918</v>
      </c>
      <c r="M58" s="3">
        <f t="shared" si="3"/>
        <v>-1344045.2651598006</v>
      </c>
    </row>
    <row r="59" spans="1:13">
      <c r="A59" s="9" t="s">
        <v>874</v>
      </c>
      <c r="B59" s="9" t="s">
        <v>223</v>
      </c>
      <c r="C59" s="9" t="s">
        <v>222</v>
      </c>
      <c r="D59" s="4" t="s">
        <v>875</v>
      </c>
      <c r="E59" s="14" t="s">
        <v>875</v>
      </c>
      <c r="F59" s="14" t="s">
        <v>876</v>
      </c>
      <c r="G59" s="14" t="s">
        <v>874</v>
      </c>
      <c r="H59" s="9" t="s">
        <v>2220</v>
      </c>
      <c r="I59" s="3">
        <v>5246905.0589887807</v>
      </c>
      <c r="J59" s="3">
        <v>6959702.8737021349</v>
      </c>
      <c r="K59" s="3">
        <f t="shared" si="2"/>
        <v>12206607.932690915</v>
      </c>
      <c r="L59" s="3">
        <f>IFERROR(INDEX('CHIRP Payment Calc'!K:K,MATCH(A:A,'CHIRP Payment Calc'!A:A,0)),0)</f>
        <v>16571971.329212774</v>
      </c>
      <c r="M59" s="3">
        <f t="shared" si="3"/>
        <v>-4365363.3965218589</v>
      </c>
    </row>
    <row r="60" spans="1:13">
      <c r="A60" s="9" t="s">
        <v>1366</v>
      </c>
      <c r="B60" s="9" t="s">
        <v>223</v>
      </c>
      <c r="C60" s="9" t="s">
        <v>222</v>
      </c>
      <c r="D60" s="4" t="s">
        <v>1367</v>
      </c>
      <c r="E60" s="14" t="s">
        <v>1367</v>
      </c>
      <c r="F60" s="14" t="s">
        <v>1368</v>
      </c>
      <c r="G60" s="14" t="s">
        <v>1366</v>
      </c>
      <c r="H60" s="9" t="s">
        <v>2219</v>
      </c>
      <c r="I60" s="3">
        <v>0</v>
      </c>
      <c r="J60" s="3">
        <v>145.43532090765507</v>
      </c>
      <c r="K60" s="3">
        <f t="shared" si="2"/>
        <v>145.43532090765507</v>
      </c>
      <c r="L60" s="3">
        <f>IFERROR(INDEX('CHIRP Payment Calc'!K:K,MATCH(A:A,'CHIRP Payment Calc'!A:A,0)),0)</f>
        <v>0</v>
      </c>
      <c r="M60" s="3">
        <f t="shared" si="3"/>
        <v>145.43532090765507</v>
      </c>
    </row>
    <row r="61" spans="1:13">
      <c r="A61" s="9" t="s">
        <v>968</v>
      </c>
      <c r="B61" s="9" t="s">
        <v>223</v>
      </c>
      <c r="C61" s="9" t="s">
        <v>222</v>
      </c>
      <c r="D61" s="4" t="s">
        <v>969</v>
      </c>
      <c r="E61" s="14" t="s">
        <v>969</v>
      </c>
      <c r="F61" s="14" t="s">
        <v>970</v>
      </c>
      <c r="G61" s="14" t="s">
        <v>968</v>
      </c>
      <c r="H61" s="9" t="s">
        <v>970</v>
      </c>
      <c r="I61" s="3">
        <v>64239.024703958981</v>
      </c>
      <c r="J61" s="3">
        <v>894.65613458409098</v>
      </c>
      <c r="K61" s="3">
        <f t="shared" si="2"/>
        <v>65133.68083854307</v>
      </c>
      <c r="L61" s="3">
        <f>IFERROR(INDEX('CHIRP Payment Calc'!K:K,MATCH(A:A,'CHIRP Payment Calc'!A:A,0)),0)</f>
        <v>97420.446528801986</v>
      </c>
      <c r="M61" s="3">
        <f t="shared" si="3"/>
        <v>-32286.765690258915</v>
      </c>
    </row>
    <row r="62" spans="1:13">
      <c r="A62" s="9" t="s">
        <v>1690</v>
      </c>
      <c r="B62" s="9" t="s">
        <v>223</v>
      </c>
      <c r="C62" s="9" t="s">
        <v>222</v>
      </c>
      <c r="D62" s="4" t="s">
        <v>1691</v>
      </c>
      <c r="E62" s="14" t="s">
        <v>1691</v>
      </c>
      <c r="F62" s="14" t="s">
        <v>1689</v>
      </c>
      <c r="G62" s="14" t="s">
        <v>1690</v>
      </c>
      <c r="H62" s="9" t="s">
        <v>1689</v>
      </c>
      <c r="I62" s="3">
        <v>309477.72834664246</v>
      </c>
      <c r="J62" s="3">
        <v>0</v>
      </c>
      <c r="K62" s="3">
        <f t="shared" si="2"/>
        <v>309477.72834664246</v>
      </c>
      <c r="L62" s="3">
        <f>IFERROR(INDEX('CHIRP Payment Calc'!K:K,MATCH(A:A,'CHIRP Payment Calc'!A:A,0)),0)</f>
        <v>0</v>
      </c>
      <c r="M62" s="3">
        <f t="shared" si="3"/>
        <v>309477.72834664246</v>
      </c>
    </row>
    <row r="63" spans="1:13">
      <c r="A63" s="9" t="s">
        <v>103</v>
      </c>
      <c r="B63" s="9" t="s">
        <v>223</v>
      </c>
      <c r="C63" s="9" t="s">
        <v>222</v>
      </c>
      <c r="D63" s="4" t="s">
        <v>104</v>
      </c>
      <c r="E63" s="14" t="s">
        <v>104</v>
      </c>
      <c r="F63" s="14" t="s">
        <v>105</v>
      </c>
      <c r="G63" s="14" t="s">
        <v>103</v>
      </c>
      <c r="H63" s="9" t="s">
        <v>2218</v>
      </c>
      <c r="I63" s="3">
        <v>0</v>
      </c>
      <c r="J63" s="3">
        <v>0</v>
      </c>
      <c r="K63" s="3">
        <f t="shared" si="2"/>
        <v>0</v>
      </c>
      <c r="L63" s="3">
        <f>IFERROR(INDEX('CHIRP Payment Calc'!K:K,MATCH(A:A,'CHIRP Payment Calc'!A:A,0)),0)</f>
        <v>0</v>
      </c>
      <c r="M63" s="3">
        <f t="shared" si="3"/>
        <v>0</v>
      </c>
    </row>
    <row r="64" spans="1:13">
      <c r="A64" s="9" t="s">
        <v>1440</v>
      </c>
      <c r="B64" s="9" t="s">
        <v>223</v>
      </c>
      <c r="C64" s="9" t="s">
        <v>222</v>
      </c>
      <c r="D64" s="4" t="s">
        <v>1441</v>
      </c>
      <c r="E64" s="14" t="s">
        <v>1441</v>
      </c>
      <c r="F64" s="14" t="s">
        <v>1442</v>
      </c>
      <c r="G64" s="14" t="s">
        <v>1440</v>
      </c>
      <c r="H64" s="9" t="s">
        <v>2217</v>
      </c>
      <c r="I64" s="3">
        <v>0</v>
      </c>
      <c r="J64" s="3">
        <v>0</v>
      </c>
      <c r="K64" s="3">
        <f t="shared" si="2"/>
        <v>0</v>
      </c>
      <c r="L64" s="3">
        <f>IFERROR(INDEX('CHIRP Payment Calc'!K:K,MATCH(A:A,'CHIRP Payment Calc'!A:A,0)),0)</f>
        <v>262539.71471932187</v>
      </c>
      <c r="M64" s="3">
        <f t="shared" si="3"/>
        <v>-262539.71471932187</v>
      </c>
    </row>
    <row r="65" spans="1:13">
      <c r="A65" s="9" t="s">
        <v>291</v>
      </c>
      <c r="B65" s="9" t="s">
        <v>223</v>
      </c>
      <c r="C65" s="9" t="s">
        <v>222</v>
      </c>
      <c r="D65" s="4" t="s">
        <v>292</v>
      </c>
      <c r="E65" s="14" t="s">
        <v>292</v>
      </c>
      <c r="F65" s="14" t="s">
        <v>293</v>
      </c>
      <c r="G65" s="14" t="s">
        <v>291</v>
      </c>
      <c r="H65" s="9" t="s">
        <v>2216</v>
      </c>
      <c r="I65" s="3">
        <v>0</v>
      </c>
      <c r="J65" s="3">
        <v>31548.348286514731</v>
      </c>
      <c r="K65" s="3">
        <f t="shared" si="2"/>
        <v>31548.348286514731</v>
      </c>
      <c r="L65" s="3">
        <f>IFERROR(INDEX('CHIRP Payment Calc'!K:K,MATCH(A:A,'CHIRP Payment Calc'!A:A,0)),0)</f>
        <v>0</v>
      </c>
      <c r="M65" s="3">
        <f t="shared" si="3"/>
        <v>31548.348286514731</v>
      </c>
    </row>
    <row r="66" spans="1:13">
      <c r="A66" s="9" t="s">
        <v>1113</v>
      </c>
      <c r="B66" s="9" t="s">
        <v>223</v>
      </c>
      <c r="C66" s="9" t="s">
        <v>222</v>
      </c>
      <c r="D66" s="4" t="s">
        <v>1114</v>
      </c>
      <c r="E66" s="14" t="s">
        <v>1114</v>
      </c>
      <c r="F66" s="14" t="s">
        <v>1115</v>
      </c>
      <c r="G66" s="14" t="s">
        <v>1113</v>
      </c>
      <c r="H66" s="9" t="s">
        <v>2215</v>
      </c>
      <c r="I66" s="3">
        <v>12132213.374191867</v>
      </c>
      <c r="J66" s="3">
        <v>8435213.2583940756</v>
      </c>
      <c r="K66" s="3">
        <f t="shared" si="2"/>
        <v>20567426.632585943</v>
      </c>
      <c r="L66" s="3">
        <f>IFERROR(INDEX('CHIRP Payment Calc'!K:K,MATCH(A:A,'CHIRP Payment Calc'!A:A,0)),0)</f>
        <v>26429753.828274421</v>
      </c>
      <c r="M66" s="3">
        <f t="shared" si="3"/>
        <v>-5862327.1956884786</v>
      </c>
    </row>
    <row r="67" spans="1:13">
      <c r="A67" s="9" t="s">
        <v>94</v>
      </c>
      <c r="B67" s="9" t="s">
        <v>223</v>
      </c>
      <c r="C67" s="9" t="s">
        <v>222</v>
      </c>
      <c r="D67" s="4" t="s">
        <v>95</v>
      </c>
      <c r="E67" s="14" t="s">
        <v>95</v>
      </c>
      <c r="F67" s="14" t="s">
        <v>96</v>
      </c>
      <c r="G67" s="14" t="s">
        <v>94</v>
      </c>
      <c r="H67" s="9" t="s">
        <v>2214</v>
      </c>
      <c r="I67" s="3">
        <v>0</v>
      </c>
      <c r="J67" s="3">
        <v>0</v>
      </c>
      <c r="K67" s="3">
        <f t="shared" si="2"/>
        <v>0</v>
      </c>
      <c r="L67" s="3">
        <f>IFERROR(INDEX('CHIRP Payment Calc'!K:K,MATCH(A:A,'CHIRP Payment Calc'!A:A,0)),0)</f>
        <v>0</v>
      </c>
      <c r="M67" s="3">
        <f t="shared" si="3"/>
        <v>0</v>
      </c>
    </row>
    <row r="68" spans="1:13">
      <c r="A68" s="9" t="s">
        <v>605</v>
      </c>
      <c r="B68" s="9" t="s">
        <v>223</v>
      </c>
      <c r="C68" s="9" t="s">
        <v>222</v>
      </c>
      <c r="D68" s="4" t="s">
        <v>606</v>
      </c>
      <c r="E68" s="14" t="s">
        <v>606</v>
      </c>
      <c r="F68" s="14" t="s">
        <v>607</v>
      </c>
      <c r="G68" s="14" t="s">
        <v>605</v>
      </c>
      <c r="H68" s="9" t="s">
        <v>2213</v>
      </c>
      <c r="I68" s="3">
        <v>4086047.5436535566</v>
      </c>
      <c r="J68" s="3">
        <v>2976068.6120769833</v>
      </c>
      <c r="K68" s="3">
        <f t="shared" si="2"/>
        <v>7062116.1557305399</v>
      </c>
      <c r="L68" s="3">
        <f>IFERROR(INDEX('CHIRP Payment Calc'!K:K,MATCH(A:A,'CHIRP Payment Calc'!A:A,0)),0)</f>
        <v>11069253.549642656</v>
      </c>
      <c r="M68" s="3">
        <f t="shared" si="3"/>
        <v>-4007137.3939121161</v>
      </c>
    </row>
    <row r="69" spans="1:13">
      <c r="A69" s="9" t="s">
        <v>524</v>
      </c>
      <c r="B69" s="9" t="s">
        <v>223</v>
      </c>
      <c r="C69" s="9" t="s">
        <v>222</v>
      </c>
      <c r="D69" s="4" t="s">
        <v>525</v>
      </c>
      <c r="E69" s="14" t="s">
        <v>525</v>
      </c>
      <c r="F69" s="14" t="s">
        <v>526</v>
      </c>
      <c r="G69" s="14" t="s">
        <v>524</v>
      </c>
      <c r="H69" s="9" t="s">
        <v>1715</v>
      </c>
      <c r="I69" s="3">
        <v>5255734.5389700774</v>
      </c>
      <c r="J69" s="3">
        <v>8672858.256745033</v>
      </c>
      <c r="K69" s="3">
        <f t="shared" si="2"/>
        <v>13928592.79571511</v>
      </c>
      <c r="L69" s="3">
        <f>IFERROR(INDEX('CHIRP Payment Calc'!K:K,MATCH(A:A,'CHIRP Payment Calc'!A:A,0)),0)</f>
        <v>31741102.013372596</v>
      </c>
      <c r="M69" s="3">
        <f t="shared" si="3"/>
        <v>-17812509.217657484</v>
      </c>
    </row>
    <row r="70" spans="1:13">
      <c r="A70" s="9" t="s">
        <v>1119</v>
      </c>
      <c r="B70" s="9" t="s">
        <v>223</v>
      </c>
      <c r="C70" s="9" t="s">
        <v>222</v>
      </c>
      <c r="D70" s="4" t="s">
        <v>1120</v>
      </c>
      <c r="E70" s="14" t="s">
        <v>1120</v>
      </c>
      <c r="F70" s="14" t="s">
        <v>1121</v>
      </c>
      <c r="G70" s="14" t="s">
        <v>1119</v>
      </c>
      <c r="H70" s="9" t="s">
        <v>2212</v>
      </c>
      <c r="I70" s="3">
        <v>686979.8132496645</v>
      </c>
      <c r="J70" s="3">
        <v>669874.53634649375</v>
      </c>
      <c r="K70" s="3">
        <f t="shared" si="2"/>
        <v>1356854.3495961581</v>
      </c>
      <c r="L70" s="3">
        <f>IFERROR(INDEX('CHIRP Payment Calc'!K:K,MATCH(A:A,'CHIRP Payment Calc'!A:A,0)),0)</f>
        <v>1823069.5293724213</v>
      </c>
      <c r="M70" s="3">
        <f t="shared" si="3"/>
        <v>-466215.17977626319</v>
      </c>
    </row>
    <row r="71" spans="1:13">
      <c r="A71" s="9" t="s">
        <v>2322</v>
      </c>
      <c r="B71" s="9" t="s">
        <v>223</v>
      </c>
      <c r="C71" s="9" t="s">
        <v>222</v>
      </c>
      <c r="D71" s="4" t="s">
        <v>2211</v>
      </c>
      <c r="E71" s="14" t="s">
        <v>2322</v>
      </c>
      <c r="F71" s="14" t="e">
        <v>#N/A</v>
      </c>
      <c r="G71" s="14" t="s">
        <v>2322</v>
      </c>
      <c r="H71" s="9" t="s">
        <v>2210</v>
      </c>
      <c r="I71" s="3">
        <v>0</v>
      </c>
      <c r="J71" s="3">
        <v>0</v>
      </c>
      <c r="K71" s="3">
        <f t="shared" si="2"/>
        <v>0</v>
      </c>
      <c r="L71" s="3">
        <f>IFERROR(INDEX('CHIRP Payment Calc'!K:K,MATCH(A:A,'CHIRP Payment Calc'!A:A,0)),0)</f>
        <v>0</v>
      </c>
      <c r="M71" s="3">
        <f t="shared" si="3"/>
        <v>0</v>
      </c>
    </row>
    <row r="72" spans="1:13">
      <c r="A72" s="9" t="s">
        <v>880</v>
      </c>
      <c r="B72" s="9" t="s">
        <v>223</v>
      </c>
      <c r="C72" s="9" t="s">
        <v>222</v>
      </c>
      <c r="D72" s="4" t="s">
        <v>881</v>
      </c>
      <c r="E72" s="14" t="s">
        <v>881</v>
      </c>
      <c r="F72" s="14" t="s">
        <v>882</v>
      </c>
      <c r="G72" s="14" t="s">
        <v>880</v>
      </c>
      <c r="H72" s="9" t="s">
        <v>2209</v>
      </c>
      <c r="I72" s="3">
        <v>12425037.925576687</v>
      </c>
      <c r="J72" s="3">
        <v>9434030.5667901002</v>
      </c>
      <c r="K72" s="3">
        <f t="shared" ref="K72:K135" si="4">I72+J72</f>
        <v>21859068.492366787</v>
      </c>
      <c r="L72" s="3">
        <f>IFERROR(INDEX('CHIRP Payment Calc'!K:K,MATCH(A:A,'CHIRP Payment Calc'!A:A,0)),0)</f>
        <v>28610683.530688651</v>
      </c>
      <c r="M72" s="3">
        <f t="shared" ref="M72:M135" si="5">K72-L72</f>
        <v>-6751615.0383218639</v>
      </c>
    </row>
    <row r="73" spans="1:13">
      <c r="A73" s="9" t="s">
        <v>1372</v>
      </c>
      <c r="B73" s="9" t="s">
        <v>223</v>
      </c>
      <c r="C73" s="9" t="s">
        <v>222</v>
      </c>
      <c r="D73" s="4" t="s">
        <v>1373</v>
      </c>
      <c r="E73" s="14" t="s">
        <v>1373</v>
      </c>
      <c r="F73" s="14" t="s">
        <v>1374</v>
      </c>
      <c r="G73" s="14" t="s">
        <v>1372</v>
      </c>
      <c r="H73" s="9" t="s">
        <v>2208</v>
      </c>
      <c r="I73" s="3">
        <v>8581.4988777382569</v>
      </c>
      <c r="J73" s="3">
        <v>28418.746326935045</v>
      </c>
      <c r="K73" s="3">
        <f t="shared" si="4"/>
        <v>37000.245204673301</v>
      </c>
      <c r="L73" s="3">
        <f>IFERROR(INDEX('CHIRP Payment Calc'!K:K,MATCH(A:A,'CHIRP Payment Calc'!A:A,0)),0)</f>
        <v>0</v>
      </c>
      <c r="M73" s="3">
        <f t="shared" si="5"/>
        <v>37000.245204673301</v>
      </c>
    </row>
    <row r="74" spans="1:13">
      <c r="A74" s="9" t="s">
        <v>923</v>
      </c>
      <c r="B74" s="9" t="s">
        <v>223</v>
      </c>
      <c r="C74" s="9" t="s">
        <v>222</v>
      </c>
      <c r="D74" s="4" t="s">
        <v>924</v>
      </c>
      <c r="E74" s="14" t="s">
        <v>924</v>
      </c>
      <c r="F74" s="14" t="s">
        <v>925</v>
      </c>
      <c r="G74" s="14" t="s">
        <v>923</v>
      </c>
      <c r="H74" s="9" t="s">
        <v>1740</v>
      </c>
      <c r="I74" s="3">
        <v>0</v>
      </c>
      <c r="J74" s="3">
        <v>0</v>
      </c>
      <c r="K74" s="3">
        <f t="shared" si="4"/>
        <v>0</v>
      </c>
      <c r="L74" s="3">
        <f>IFERROR(INDEX('CHIRP Payment Calc'!K:K,MATCH(A:A,'CHIRP Payment Calc'!A:A,0)),0)</f>
        <v>0</v>
      </c>
      <c r="M74" s="3">
        <f t="shared" si="5"/>
        <v>0</v>
      </c>
    </row>
    <row r="75" spans="1:13">
      <c r="A75" s="9" t="s">
        <v>428</v>
      </c>
      <c r="B75" s="9" t="s">
        <v>223</v>
      </c>
      <c r="C75" s="9" t="s">
        <v>222</v>
      </c>
      <c r="D75" s="4" t="s">
        <v>429</v>
      </c>
      <c r="E75" s="14" t="s">
        <v>429</v>
      </c>
      <c r="F75" s="14" t="s">
        <v>430</v>
      </c>
      <c r="G75" s="14" t="s">
        <v>428</v>
      </c>
      <c r="H75" s="9" t="s">
        <v>2207</v>
      </c>
      <c r="I75" s="3">
        <v>520877.13201660127</v>
      </c>
      <c r="J75" s="3">
        <v>616336.33745906525</v>
      </c>
      <c r="K75" s="3">
        <f t="shared" si="4"/>
        <v>1137213.4694756665</v>
      </c>
      <c r="L75" s="3">
        <f>IFERROR(INDEX('CHIRP Payment Calc'!K:K,MATCH(A:A,'CHIRP Payment Calc'!A:A,0)),0)</f>
        <v>1382258.2724398139</v>
      </c>
      <c r="M75" s="3">
        <f t="shared" si="5"/>
        <v>-245044.80296414741</v>
      </c>
    </row>
    <row r="76" spans="1:13">
      <c r="A76" s="9" t="s">
        <v>25</v>
      </c>
      <c r="B76" s="9" t="s">
        <v>223</v>
      </c>
      <c r="C76" s="9" t="s">
        <v>222</v>
      </c>
      <c r="D76" s="4" t="s">
        <v>26</v>
      </c>
      <c r="E76" s="14" t="s">
        <v>26</v>
      </c>
      <c r="F76" s="14" t="s">
        <v>27</v>
      </c>
      <c r="G76" s="14" t="s">
        <v>25</v>
      </c>
      <c r="H76" s="9" t="s">
        <v>1717</v>
      </c>
      <c r="I76" s="3">
        <v>0</v>
      </c>
      <c r="J76" s="3">
        <v>185556.13603372275</v>
      </c>
      <c r="K76" s="3">
        <f t="shared" si="4"/>
        <v>185556.13603372275</v>
      </c>
      <c r="L76" s="3">
        <f>IFERROR(INDEX('CHIRP Payment Calc'!K:K,MATCH(A:A,'CHIRP Payment Calc'!A:A,0)),0)</f>
        <v>143872.95309824866</v>
      </c>
      <c r="M76" s="3">
        <f t="shared" si="5"/>
        <v>41683.182935474091</v>
      </c>
    </row>
    <row r="77" spans="1:13">
      <c r="A77" s="9" t="s">
        <v>365</v>
      </c>
      <c r="B77" s="9" t="s">
        <v>223</v>
      </c>
      <c r="C77" s="9" t="s">
        <v>222</v>
      </c>
      <c r="D77" s="4" t="s">
        <v>366</v>
      </c>
      <c r="E77" s="14" t="s">
        <v>366</v>
      </c>
      <c r="F77" s="14" t="s">
        <v>367</v>
      </c>
      <c r="G77" s="14" t="s">
        <v>365</v>
      </c>
      <c r="H77" s="9" t="s">
        <v>2206</v>
      </c>
      <c r="I77" s="3">
        <v>895073.47329291969</v>
      </c>
      <c r="J77" s="3">
        <v>638461.75508426991</v>
      </c>
      <c r="K77" s="3">
        <f t="shared" si="4"/>
        <v>1533535.2283771895</v>
      </c>
      <c r="L77" s="3">
        <f>IFERROR(INDEX('CHIRP Payment Calc'!K:K,MATCH(A:A,'CHIRP Payment Calc'!A:A,0)),0)</f>
        <v>2260313.2750021061</v>
      </c>
      <c r="M77" s="3">
        <f t="shared" si="5"/>
        <v>-726778.04662491661</v>
      </c>
    </row>
    <row r="78" spans="1:13">
      <c r="A78" s="9" t="s">
        <v>521</v>
      </c>
      <c r="B78" s="9" t="s">
        <v>223</v>
      </c>
      <c r="C78" s="9" t="s">
        <v>222</v>
      </c>
      <c r="D78" s="4" t="s">
        <v>522</v>
      </c>
      <c r="E78" s="14" t="s">
        <v>522</v>
      </c>
      <c r="F78" s="14" t="s">
        <v>523</v>
      </c>
      <c r="G78" s="14" t="s">
        <v>521</v>
      </c>
      <c r="H78" s="9" t="s">
        <v>2205</v>
      </c>
      <c r="I78" s="3">
        <v>0</v>
      </c>
      <c r="J78" s="3">
        <v>365742.07228948857</v>
      </c>
      <c r="K78" s="3">
        <f t="shared" si="4"/>
        <v>365742.07228948857</v>
      </c>
      <c r="L78" s="3">
        <f>IFERROR(INDEX('CHIRP Payment Calc'!K:K,MATCH(A:A,'CHIRP Payment Calc'!A:A,0)),0)</f>
        <v>262670.52302257885</v>
      </c>
      <c r="M78" s="3">
        <f t="shared" si="5"/>
        <v>103071.54926690971</v>
      </c>
    </row>
    <row r="79" spans="1:13">
      <c r="A79" s="9" t="s">
        <v>1742</v>
      </c>
      <c r="B79" s="9" t="s">
        <v>223</v>
      </c>
      <c r="C79" s="9" t="s">
        <v>222</v>
      </c>
      <c r="D79" s="4" t="s">
        <v>1741</v>
      </c>
      <c r="E79" s="14" t="s">
        <v>1741</v>
      </c>
      <c r="F79" s="14" t="e">
        <v>#N/A</v>
      </c>
      <c r="G79" s="14" t="s">
        <v>1742</v>
      </c>
      <c r="H79" s="9" t="s">
        <v>1743</v>
      </c>
      <c r="I79" s="3">
        <v>0</v>
      </c>
      <c r="J79" s="3">
        <v>0</v>
      </c>
      <c r="K79" s="3">
        <f t="shared" si="4"/>
        <v>0</v>
      </c>
      <c r="L79" s="3">
        <f>IFERROR(INDEX('CHIRP Payment Calc'!K:K,MATCH(A:A,'CHIRP Payment Calc'!A:A,0)),0)</f>
        <v>0</v>
      </c>
      <c r="M79" s="3">
        <f t="shared" si="5"/>
        <v>0</v>
      </c>
    </row>
    <row r="80" spans="1:13">
      <c r="A80" s="9" t="s">
        <v>189</v>
      </c>
      <c r="B80" s="9" t="s">
        <v>223</v>
      </c>
      <c r="C80" s="9" t="s">
        <v>222</v>
      </c>
      <c r="D80" s="4" t="s">
        <v>190</v>
      </c>
      <c r="E80" s="14" t="s">
        <v>190</v>
      </c>
      <c r="F80" s="14" t="s">
        <v>191</v>
      </c>
      <c r="G80" s="14" t="s">
        <v>189</v>
      </c>
      <c r="H80" s="9" t="s">
        <v>2204</v>
      </c>
      <c r="I80" s="3">
        <v>0</v>
      </c>
      <c r="J80" s="3">
        <v>1364.0647354157666</v>
      </c>
      <c r="K80" s="3">
        <f t="shared" si="4"/>
        <v>1364.0647354157666</v>
      </c>
      <c r="L80" s="3">
        <f>IFERROR(INDEX('CHIRP Payment Calc'!K:K,MATCH(A:A,'CHIRP Payment Calc'!A:A,0)),0)</f>
        <v>0</v>
      </c>
      <c r="M80" s="3">
        <f t="shared" si="5"/>
        <v>1364.0647354157666</v>
      </c>
    </row>
    <row r="81" spans="1:13">
      <c r="A81" s="9" t="s">
        <v>219</v>
      </c>
      <c r="B81" s="9" t="s">
        <v>223</v>
      </c>
      <c r="C81" s="9" t="s">
        <v>222</v>
      </c>
      <c r="D81" s="4" t="s">
        <v>220</v>
      </c>
      <c r="E81" s="14" t="s">
        <v>220</v>
      </c>
      <c r="F81" s="14" t="s">
        <v>221</v>
      </c>
      <c r="G81" s="14" t="s">
        <v>219</v>
      </c>
      <c r="H81" s="9" t="s">
        <v>2203</v>
      </c>
      <c r="I81" s="3">
        <v>0</v>
      </c>
      <c r="J81" s="3">
        <v>0</v>
      </c>
      <c r="K81" s="3">
        <f t="shared" si="4"/>
        <v>0</v>
      </c>
      <c r="L81" s="3">
        <f>IFERROR(INDEX('CHIRP Payment Calc'!K:K,MATCH(A:A,'CHIRP Payment Calc'!A:A,0)),0)</f>
        <v>0</v>
      </c>
      <c r="M81" s="3">
        <f t="shared" si="5"/>
        <v>0</v>
      </c>
    </row>
    <row r="82" spans="1:13">
      <c r="A82" s="9" t="s">
        <v>2201</v>
      </c>
      <c r="B82" s="9" t="s">
        <v>223</v>
      </c>
      <c r="C82" s="9" t="s">
        <v>222</v>
      </c>
      <c r="D82" s="4" t="s">
        <v>2202</v>
      </c>
      <c r="E82" s="14" t="s">
        <v>2202</v>
      </c>
      <c r="F82" s="14" t="e">
        <v>#N/A</v>
      </c>
      <c r="G82" s="14" t="s">
        <v>2201</v>
      </c>
      <c r="H82" s="9" t="s">
        <v>2200</v>
      </c>
      <c r="I82" s="3">
        <v>0</v>
      </c>
      <c r="J82" s="3">
        <v>0</v>
      </c>
      <c r="K82" s="3">
        <f t="shared" si="4"/>
        <v>0</v>
      </c>
      <c r="L82" s="3">
        <f>IFERROR(INDEX('CHIRP Payment Calc'!K:K,MATCH(A:A,'CHIRP Payment Calc'!A:A,0)),0)</f>
        <v>0</v>
      </c>
      <c r="M82" s="3">
        <f t="shared" si="5"/>
        <v>0</v>
      </c>
    </row>
    <row r="83" spans="1:13">
      <c r="A83" s="9" t="s">
        <v>1549</v>
      </c>
      <c r="B83" s="9" t="s">
        <v>223</v>
      </c>
      <c r="C83" s="9" t="s">
        <v>222</v>
      </c>
      <c r="D83" s="4" t="s">
        <v>109</v>
      </c>
      <c r="E83" s="14" t="s">
        <v>109</v>
      </c>
      <c r="F83" s="14" t="s">
        <v>110</v>
      </c>
      <c r="G83" s="14" t="s">
        <v>1549</v>
      </c>
      <c r="H83" s="9" t="s">
        <v>2199</v>
      </c>
      <c r="I83" s="3">
        <v>37472172.865431286</v>
      </c>
      <c r="J83" s="3">
        <v>11511009.901441297</v>
      </c>
      <c r="K83" s="3">
        <f t="shared" si="4"/>
        <v>48983182.766872585</v>
      </c>
      <c r="L83" s="3">
        <f>IFERROR(INDEX('CHIRP Payment Calc'!K:K,MATCH(A:A,'CHIRP Payment Calc'!A:A,0)),0)</f>
        <v>52686976.109414056</v>
      </c>
      <c r="M83" s="3">
        <f t="shared" si="5"/>
        <v>-3703793.3425414711</v>
      </c>
    </row>
    <row r="84" spans="1:13">
      <c r="A84" s="9" t="s">
        <v>632</v>
      </c>
      <c r="B84" s="9" t="s">
        <v>223</v>
      </c>
      <c r="C84" s="9" t="s">
        <v>222</v>
      </c>
      <c r="D84" s="4" t="s">
        <v>633</v>
      </c>
      <c r="E84" s="14" t="s">
        <v>633</v>
      </c>
      <c r="F84" s="14" t="s">
        <v>634</v>
      </c>
      <c r="G84" s="14" t="s">
        <v>632</v>
      </c>
      <c r="H84" s="9" t="s">
        <v>2198</v>
      </c>
      <c r="I84" s="3">
        <v>5868425.2824665569</v>
      </c>
      <c r="J84" s="3">
        <v>4552352.1777542066</v>
      </c>
      <c r="K84" s="3">
        <f t="shared" si="4"/>
        <v>10420777.460220763</v>
      </c>
      <c r="L84" s="3">
        <f>IFERROR(INDEX('CHIRP Payment Calc'!K:K,MATCH(A:A,'CHIRP Payment Calc'!A:A,0)),0)</f>
        <v>13363889.570180992</v>
      </c>
      <c r="M84" s="3">
        <f t="shared" si="5"/>
        <v>-2943112.1099602282</v>
      </c>
    </row>
    <row r="85" spans="1:13">
      <c r="A85" s="9" t="s">
        <v>201</v>
      </c>
      <c r="B85" s="9" t="s">
        <v>223</v>
      </c>
      <c r="C85" s="9" t="s">
        <v>222</v>
      </c>
      <c r="D85" s="4" t="s">
        <v>202</v>
      </c>
      <c r="E85" s="14" t="s">
        <v>202</v>
      </c>
      <c r="F85" s="14" t="s">
        <v>203</v>
      </c>
      <c r="G85" s="14" t="s">
        <v>201</v>
      </c>
      <c r="H85" s="9" t="s">
        <v>2197</v>
      </c>
      <c r="I85" s="3">
        <v>0</v>
      </c>
      <c r="J85" s="3">
        <v>0</v>
      </c>
      <c r="K85" s="3">
        <f t="shared" si="4"/>
        <v>0</v>
      </c>
      <c r="L85" s="3">
        <f>IFERROR(INDEX('CHIRP Payment Calc'!K:K,MATCH(A:A,'CHIRP Payment Calc'!A:A,0)),0)</f>
        <v>0</v>
      </c>
      <c r="M85" s="3">
        <f t="shared" si="5"/>
        <v>0</v>
      </c>
    </row>
    <row r="86" spans="1:13">
      <c r="A86" s="9" t="s">
        <v>353</v>
      </c>
      <c r="B86" s="9" t="s">
        <v>223</v>
      </c>
      <c r="C86" s="9" t="s">
        <v>222</v>
      </c>
      <c r="D86" s="4" t="s">
        <v>354</v>
      </c>
      <c r="E86" s="14" t="s">
        <v>354</v>
      </c>
      <c r="F86" s="14" t="s">
        <v>355</v>
      </c>
      <c r="G86" s="14" t="s">
        <v>353</v>
      </c>
      <c r="H86" s="9" t="s">
        <v>2196</v>
      </c>
      <c r="I86" s="3">
        <v>322011.81808946142</v>
      </c>
      <c r="J86" s="3">
        <v>180701.35337862291</v>
      </c>
      <c r="K86" s="3">
        <f t="shared" si="4"/>
        <v>502713.17146808433</v>
      </c>
      <c r="L86" s="3">
        <f>IFERROR(INDEX('CHIRP Payment Calc'!K:K,MATCH(A:A,'CHIRP Payment Calc'!A:A,0)),0)</f>
        <v>662585.03314453922</v>
      </c>
      <c r="M86" s="3">
        <f t="shared" si="5"/>
        <v>-159871.86167645489</v>
      </c>
    </row>
    <row r="87" spans="1:13">
      <c r="A87" s="9" t="s">
        <v>1444</v>
      </c>
      <c r="B87" s="9" t="s">
        <v>223</v>
      </c>
      <c r="C87" s="9" t="s">
        <v>222</v>
      </c>
      <c r="D87" s="4" t="s">
        <v>1445</v>
      </c>
      <c r="E87" s="14" t="s">
        <v>1445</v>
      </c>
      <c r="F87" s="14" t="s">
        <v>1446</v>
      </c>
      <c r="G87" s="14" t="s">
        <v>1444</v>
      </c>
      <c r="H87" s="9" t="s">
        <v>1678</v>
      </c>
      <c r="I87" s="3">
        <v>0</v>
      </c>
      <c r="J87" s="3">
        <v>27608.428096257499</v>
      </c>
      <c r="K87" s="3">
        <f t="shared" si="4"/>
        <v>27608.428096257499</v>
      </c>
      <c r="L87" s="3">
        <f>IFERROR(INDEX('CHIRP Payment Calc'!K:K,MATCH(A:A,'CHIRP Payment Calc'!A:A,0)),0)</f>
        <v>59243.757363560289</v>
      </c>
      <c r="M87" s="3">
        <f t="shared" si="5"/>
        <v>-31635.32926730279</v>
      </c>
    </row>
    <row r="88" spans="1:13">
      <c r="A88" s="9" t="s">
        <v>478</v>
      </c>
      <c r="B88" s="9" t="s">
        <v>223</v>
      </c>
      <c r="C88" s="9" t="s">
        <v>222</v>
      </c>
      <c r="D88" s="4" t="s">
        <v>479</v>
      </c>
      <c r="E88" s="14" t="s">
        <v>479</v>
      </c>
      <c r="F88" s="14" t="s">
        <v>480</v>
      </c>
      <c r="G88" s="14" t="s">
        <v>478</v>
      </c>
      <c r="H88" s="9" t="s">
        <v>2195</v>
      </c>
      <c r="I88" s="3">
        <v>5826267.5165926637</v>
      </c>
      <c r="J88" s="3">
        <v>961866.38697692135</v>
      </c>
      <c r="K88" s="3">
        <f t="shared" si="4"/>
        <v>6788133.9035695847</v>
      </c>
      <c r="L88" s="3">
        <f>IFERROR(INDEX('CHIRP Payment Calc'!K:K,MATCH(A:A,'CHIRP Payment Calc'!A:A,0)),0)</f>
        <v>11513801.51982926</v>
      </c>
      <c r="M88" s="3">
        <f t="shared" si="5"/>
        <v>-4725667.6162596755</v>
      </c>
    </row>
    <row r="89" spans="1:13">
      <c r="A89" s="9" t="s">
        <v>980</v>
      </c>
      <c r="B89" s="9" t="s">
        <v>223</v>
      </c>
      <c r="C89" s="9" t="s">
        <v>222</v>
      </c>
      <c r="D89" s="4" t="s">
        <v>981</v>
      </c>
      <c r="E89" s="14" t="s">
        <v>981</v>
      </c>
      <c r="F89" s="14" t="s">
        <v>982</v>
      </c>
      <c r="G89" s="14" t="s">
        <v>980</v>
      </c>
      <c r="H89" s="9" t="s">
        <v>2194</v>
      </c>
      <c r="I89" s="3">
        <v>2931096.5513374764</v>
      </c>
      <c r="J89" s="3">
        <v>1609256.5883542164</v>
      </c>
      <c r="K89" s="3">
        <f t="shared" si="4"/>
        <v>4540353.1396916928</v>
      </c>
      <c r="L89" s="3">
        <f>IFERROR(INDEX('CHIRP Payment Calc'!K:K,MATCH(A:A,'CHIRP Payment Calc'!A:A,0)),0)</f>
        <v>7812155.5363457184</v>
      </c>
      <c r="M89" s="3">
        <f t="shared" si="5"/>
        <v>-3271802.3966540257</v>
      </c>
    </row>
    <row r="90" spans="1:13">
      <c r="A90" s="9" t="s">
        <v>37</v>
      </c>
      <c r="B90" s="9" t="s">
        <v>223</v>
      </c>
      <c r="C90" s="9" t="s">
        <v>222</v>
      </c>
      <c r="D90" s="4" t="s">
        <v>38</v>
      </c>
      <c r="E90" s="14" t="s">
        <v>38</v>
      </c>
      <c r="F90" s="14" t="s">
        <v>39</v>
      </c>
      <c r="G90" s="14" t="s">
        <v>1546</v>
      </c>
      <c r="H90" s="9" t="s">
        <v>2193</v>
      </c>
      <c r="I90" s="3">
        <v>469016.08195217955</v>
      </c>
      <c r="J90" s="3">
        <v>213323.41713601173</v>
      </c>
      <c r="K90" s="3">
        <f t="shared" si="4"/>
        <v>682339.49908819131</v>
      </c>
      <c r="L90" s="3">
        <f>IFERROR(INDEX('CHIRP Payment Calc'!K:K,MATCH(A:A,'CHIRP Payment Calc'!A:A,0)),0)</f>
        <v>824333.35575563973</v>
      </c>
      <c r="M90" s="3">
        <f t="shared" si="5"/>
        <v>-141993.85666744842</v>
      </c>
    </row>
    <row r="91" spans="1:13">
      <c r="A91" s="9" t="s">
        <v>213</v>
      </c>
      <c r="B91" s="9" t="s">
        <v>223</v>
      </c>
      <c r="C91" s="9" t="s">
        <v>222</v>
      </c>
      <c r="D91" s="4" t="s">
        <v>214</v>
      </c>
      <c r="E91" s="14" t="s">
        <v>214</v>
      </c>
      <c r="F91" s="14" t="s">
        <v>215</v>
      </c>
      <c r="G91" s="14" t="s">
        <v>213</v>
      </c>
      <c r="H91" s="9" t="s">
        <v>2192</v>
      </c>
      <c r="I91" s="3">
        <v>0</v>
      </c>
      <c r="J91" s="3">
        <v>0</v>
      </c>
      <c r="K91" s="3">
        <f t="shared" si="4"/>
        <v>0</v>
      </c>
      <c r="L91" s="3">
        <f>IFERROR(INDEX('CHIRP Payment Calc'!K:K,MATCH(A:A,'CHIRP Payment Calc'!A:A,0)),0)</f>
        <v>0</v>
      </c>
      <c r="M91" s="3">
        <f t="shared" si="5"/>
        <v>0</v>
      </c>
    </row>
    <row r="92" spans="1:13">
      <c r="A92" s="9" t="s">
        <v>255</v>
      </c>
      <c r="B92" s="9" t="s">
        <v>223</v>
      </c>
      <c r="C92" s="9" t="s">
        <v>222</v>
      </c>
      <c r="D92" s="4" t="s">
        <v>256</v>
      </c>
      <c r="E92" s="14" t="s">
        <v>256</v>
      </c>
      <c r="F92" s="14" t="s">
        <v>257</v>
      </c>
      <c r="G92" s="14" t="s">
        <v>255</v>
      </c>
      <c r="H92" s="9" t="s">
        <v>2191</v>
      </c>
      <c r="I92" s="3">
        <v>0</v>
      </c>
      <c r="J92" s="3">
        <v>0</v>
      </c>
      <c r="K92" s="3">
        <f t="shared" si="4"/>
        <v>0</v>
      </c>
      <c r="L92" s="3">
        <f>IFERROR(INDEX('CHIRP Payment Calc'!K:K,MATCH(A:A,'CHIRP Payment Calc'!A:A,0)),0)</f>
        <v>0</v>
      </c>
      <c r="M92" s="3">
        <f t="shared" si="5"/>
        <v>0</v>
      </c>
    </row>
    <row r="93" spans="1:13">
      <c r="A93" s="9" t="s">
        <v>228</v>
      </c>
      <c r="B93" s="9" t="s">
        <v>223</v>
      </c>
      <c r="C93" s="9" t="s">
        <v>222</v>
      </c>
      <c r="D93" s="4" t="s">
        <v>229</v>
      </c>
      <c r="E93" s="14" t="s">
        <v>229</v>
      </c>
      <c r="F93" s="14" t="s">
        <v>230</v>
      </c>
      <c r="G93" s="14" t="s">
        <v>228</v>
      </c>
      <c r="H93" s="9" t="s">
        <v>2190</v>
      </c>
      <c r="I93" s="3">
        <v>145655.18125861691</v>
      </c>
      <c r="J93" s="3">
        <v>286867.71682931826</v>
      </c>
      <c r="K93" s="3">
        <f t="shared" si="4"/>
        <v>432522.89808793517</v>
      </c>
      <c r="L93" s="3">
        <f>IFERROR(INDEX('CHIRP Payment Calc'!K:K,MATCH(A:A,'CHIRP Payment Calc'!A:A,0)),0)</f>
        <v>0</v>
      </c>
      <c r="M93" s="3">
        <f t="shared" si="5"/>
        <v>432522.89808793517</v>
      </c>
    </row>
    <row r="94" spans="1:13">
      <c r="A94" s="9" t="s">
        <v>680</v>
      </c>
      <c r="B94" s="9" t="s">
        <v>223</v>
      </c>
      <c r="C94" s="9" t="s">
        <v>222</v>
      </c>
      <c r="D94" s="4" t="s">
        <v>681</v>
      </c>
      <c r="E94" s="14" t="s">
        <v>681</v>
      </c>
      <c r="F94" s="14" t="s">
        <v>682</v>
      </c>
      <c r="G94" s="14" t="s">
        <v>680</v>
      </c>
      <c r="H94" s="9" t="s">
        <v>2189</v>
      </c>
      <c r="I94" s="3">
        <v>344362.35197318497</v>
      </c>
      <c r="J94" s="3">
        <v>1205917.1757440239</v>
      </c>
      <c r="K94" s="3">
        <f t="shared" si="4"/>
        <v>1550279.527717209</v>
      </c>
      <c r="L94" s="3">
        <f>IFERROR(INDEX('CHIRP Payment Calc'!K:K,MATCH(A:A,'CHIRP Payment Calc'!A:A,0)),0)</f>
        <v>1816184.5421045774</v>
      </c>
      <c r="M94" s="3">
        <f t="shared" si="5"/>
        <v>-265905.01438736846</v>
      </c>
    </row>
    <row r="95" spans="1:13">
      <c r="A95" s="9" t="s">
        <v>2187</v>
      </c>
      <c r="B95" s="9" t="s">
        <v>223</v>
      </c>
      <c r="C95" s="9" t="s">
        <v>222</v>
      </c>
      <c r="D95" s="4" t="s">
        <v>2188</v>
      </c>
      <c r="E95" s="14" t="s">
        <v>2188</v>
      </c>
      <c r="F95" s="14" t="e">
        <v>#N/A</v>
      </c>
      <c r="G95" s="14" t="s">
        <v>2187</v>
      </c>
      <c r="H95" s="9" t="s">
        <v>2186</v>
      </c>
      <c r="I95" s="3">
        <v>0</v>
      </c>
      <c r="J95" s="3">
        <v>0</v>
      </c>
      <c r="K95" s="3">
        <f t="shared" si="4"/>
        <v>0</v>
      </c>
      <c r="L95" s="3">
        <f>IFERROR(INDEX('CHIRP Payment Calc'!K:K,MATCH(A:A,'CHIRP Payment Calc'!A:A,0)),0)</f>
        <v>0</v>
      </c>
      <c r="M95" s="3">
        <f t="shared" si="5"/>
        <v>0</v>
      </c>
    </row>
    <row r="96" spans="1:13">
      <c r="A96" s="9" t="s">
        <v>629</v>
      </c>
      <c r="B96" s="9" t="s">
        <v>223</v>
      </c>
      <c r="C96" s="9" t="s">
        <v>222</v>
      </c>
      <c r="D96" s="4" t="s">
        <v>630</v>
      </c>
      <c r="E96" s="14" t="s">
        <v>630</v>
      </c>
      <c r="F96" s="14" t="s">
        <v>631</v>
      </c>
      <c r="G96" s="14" t="s">
        <v>629</v>
      </c>
      <c r="H96" s="9" t="s">
        <v>2185</v>
      </c>
      <c r="I96" s="3">
        <v>3107963.5534602664</v>
      </c>
      <c r="J96" s="3">
        <v>355517.4352977979</v>
      </c>
      <c r="K96" s="3">
        <f t="shared" si="4"/>
        <v>3463480.9887580643</v>
      </c>
      <c r="L96" s="3">
        <f>IFERROR(INDEX('CHIRP Payment Calc'!K:K,MATCH(A:A,'CHIRP Payment Calc'!A:A,0)),0)</f>
        <v>6279139.4315853566</v>
      </c>
      <c r="M96" s="3">
        <f t="shared" si="5"/>
        <v>-2815658.4428272923</v>
      </c>
    </row>
    <row r="97" spans="1:13">
      <c r="A97" s="9" t="s">
        <v>146</v>
      </c>
      <c r="B97" s="9" t="s">
        <v>223</v>
      </c>
      <c r="C97" s="9" t="s">
        <v>222</v>
      </c>
      <c r="D97" s="4" t="s">
        <v>147</v>
      </c>
      <c r="E97" s="14" t="s">
        <v>147</v>
      </c>
      <c r="F97" s="14" t="s">
        <v>148</v>
      </c>
      <c r="G97" s="14" t="s">
        <v>146</v>
      </c>
      <c r="H97" s="9" t="s">
        <v>2184</v>
      </c>
      <c r="I97" s="3">
        <v>0</v>
      </c>
      <c r="J97" s="3">
        <v>18425.581464434323</v>
      </c>
      <c r="K97" s="3">
        <f t="shared" si="4"/>
        <v>18425.581464434323</v>
      </c>
      <c r="L97" s="3">
        <f>IFERROR(INDEX('CHIRP Payment Calc'!K:K,MATCH(A:A,'CHIRP Payment Calc'!A:A,0)),0)</f>
        <v>0</v>
      </c>
      <c r="M97" s="3">
        <f t="shared" si="5"/>
        <v>18425.581464434323</v>
      </c>
    </row>
    <row r="98" spans="1:13">
      <c r="A98" s="9" t="s">
        <v>1503</v>
      </c>
      <c r="B98" s="9" t="s">
        <v>223</v>
      </c>
      <c r="C98" s="9" t="s">
        <v>222</v>
      </c>
      <c r="D98" s="4" t="s">
        <v>1504</v>
      </c>
      <c r="E98" s="14" t="s">
        <v>1504</v>
      </c>
      <c r="F98" s="14" t="s">
        <v>1505</v>
      </c>
      <c r="G98" s="14" t="s">
        <v>1503</v>
      </c>
      <c r="H98" s="9" t="s">
        <v>2183</v>
      </c>
      <c r="I98" s="3">
        <v>0</v>
      </c>
      <c r="J98" s="3">
        <v>0</v>
      </c>
      <c r="K98" s="3">
        <f t="shared" si="4"/>
        <v>0</v>
      </c>
      <c r="L98" s="3">
        <f>IFERROR(INDEX('CHIRP Payment Calc'!K:K,MATCH(A:A,'CHIRP Payment Calc'!A:A,0)),0)</f>
        <v>0</v>
      </c>
      <c r="M98" s="3">
        <f t="shared" si="5"/>
        <v>0</v>
      </c>
    </row>
    <row r="99" spans="1:13">
      <c r="A99" s="9" t="s">
        <v>270</v>
      </c>
      <c r="B99" s="9" t="s">
        <v>223</v>
      </c>
      <c r="C99" s="9" t="s">
        <v>222</v>
      </c>
      <c r="D99" s="4" t="s">
        <v>271</v>
      </c>
      <c r="E99" s="14" t="s">
        <v>271</v>
      </c>
      <c r="F99" s="14" t="s">
        <v>272</v>
      </c>
      <c r="G99" s="14" t="s">
        <v>270</v>
      </c>
      <c r="H99" s="9" t="s">
        <v>2182</v>
      </c>
      <c r="I99" s="3">
        <v>55.605131350494986</v>
      </c>
      <c r="J99" s="3">
        <v>432.76721470089177</v>
      </c>
      <c r="K99" s="3">
        <f t="shared" si="4"/>
        <v>488.37234605138678</v>
      </c>
      <c r="L99" s="3">
        <f>IFERROR(INDEX('CHIRP Payment Calc'!K:K,MATCH(A:A,'CHIRP Payment Calc'!A:A,0)),0)</f>
        <v>0</v>
      </c>
      <c r="M99" s="3">
        <f t="shared" si="5"/>
        <v>488.37234605138678</v>
      </c>
    </row>
    <row r="100" spans="1:13">
      <c r="A100" s="9" t="s">
        <v>1735</v>
      </c>
      <c r="B100" s="9" t="s">
        <v>223</v>
      </c>
      <c r="C100" s="9" t="s">
        <v>222</v>
      </c>
      <c r="D100" s="4" t="s">
        <v>1734</v>
      </c>
      <c r="E100" s="14" t="s">
        <v>1734</v>
      </c>
      <c r="F100" s="14" t="e">
        <v>#N/A</v>
      </c>
      <c r="G100" s="14" t="s">
        <v>1735</v>
      </c>
      <c r="H100" s="9" t="s">
        <v>2181</v>
      </c>
      <c r="I100" s="3">
        <v>0</v>
      </c>
      <c r="J100" s="3">
        <v>0</v>
      </c>
      <c r="K100" s="3">
        <f t="shared" si="4"/>
        <v>0</v>
      </c>
      <c r="L100" s="3">
        <f>IFERROR(INDEX('CHIRP Payment Calc'!K:K,MATCH(A:A,'CHIRP Payment Calc'!A:A,0)),0)</f>
        <v>0</v>
      </c>
      <c r="M100" s="3">
        <f t="shared" si="5"/>
        <v>0</v>
      </c>
    </row>
    <row r="101" spans="1:13">
      <c r="A101" s="9" t="s">
        <v>431</v>
      </c>
      <c r="B101" s="9" t="s">
        <v>223</v>
      </c>
      <c r="C101" s="9" t="s">
        <v>222</v>
      </c>
      <c r="D101" s="4" t="s">
        <v>432</v>
      </c>
      <c r="E101" s="14" t="s">
        <v>432</v>
      </c>
      <c r="F101" s="14" t="s">
        <v>433</v>
      </c>
      <c r="G101" s="14" t="s">
        <v>431</v>
      </c>
      <c r="H101" s="9" t="s">
        <v>2180</v>
      </c>
      <c r="I101" s="3">
        <v>0</v>
      </c>
      <c r="J101" s="3">
        <v>194220.92818547576</v>
      </c>
      <c r="K101" s="3">
        <f t="shared" si="4"/>
        <v>194220.92818547576</v>
      </c>
      <c r="L101" s="3">
        <f>IFERROR(INDEX('CHIRP Payment Calc'!K:K,MATCH(A:A,'CHIRP Payment Calc'!A:A,0)),0)</f>
        <v>141135.93477843789</v>
      </c>
      <c r="M101" s="3">
        <f t="shared" si="5"/>
        <v>53084.993407037866</v>
      </c>
    </row>
    <row r="102" spans="1:13">
      <c r="A102" s="9" t="s">
        <v>1437</v>
      </c>
      <c r="B102" s="9" t="s">
        <v>223</v>
      </c>
      <c r="C102" s="9" t="s">
        <v>222</v>
      </c>
      <c r="D102" s="4" t="s">
        <v>1438</v>
      </c>
      <c r="E102" s="14" t="s">
        <v>1438</v>
      </c>
      <c r="F102" s="14" t="s">
        <v>1439</v>
      </c>
      <c r="G102" s="14" t="s">
        <v>1437</v>
      </c>
      <c r="H102" s="9" t="s">
        <v>2179</v>
      </c>
      <c r="I102" s="3">
        <v>0</v>
      </c>
      <c r="J102" s="3">
        <v>197844.9825286117</v>
      </c>
      <c r="K102" s="3">
        <f t="shared" si="4"/>
        <v>197844.9825286117</v>
      </c>
      <c r="L102" s="3">
        <f>IFERROR(INDEX('CHIRP Payment Calc'!K:K,MATCH(A:A,'CHIRP Payment Calc'!A:A,0)),0)</f>
        <v>295026.35670838726</v>
      </c>
      <c r="M102" s="3">
        <f t="shared" si="5"/>
        <v>-97181.374179775565</v>
      </c>
    </row>
    <row r="103" spans="1:13">
      <c r="A103" s="9" t="s">
        <v>31</v>
      </c>
      <c r="B103" s="9" t="s">
        <v>223</v>
      </c>
      <c r="C103" s="9" t="s">
        <v>222</v>
      </c>
      <c r="D103" s="4" t="s">
        <v>32</v>
      </c>
      <c r="E103" s="14" t="s">
        <v>32</v>
      </c>
      <c r="F103" s="14" t="s">
        <v>33</v>
      </c>
      <c r="G103" s="14" t="s">
        <v>31</v>
      </c>
      <c r="H103" s="9" t="s">
        <v>2178</v>
      </c>
      <c r="I103" s="3">
        <v>2211233.8721354138</v>
      </c>
      <c r="J103" s="3">
        <v>1034351.9866366993</v>
      </c>
      <c r="K103" s="3">
        <f t="shared" si="4"/>
        <v>3245585.858772113</v>
      </c>
      <c r="L103" s="3">
        <f>IFERROR(INDEX('CHIRP Payment Calc'!K:K,MATCH(A:A,'CHIRP Payment Calc'!A:A,0)),0)</f>
        <v>6049850.8699389584</v>
      </c>
      <c r="M103" s="3">
        <f t="shared" si="5"/>
        <v>-2804265.0111668454</v>
      </c>
    </row>
    <row r="104" spans="1:13">
      <c r="A104" s="9" t="s">
        <v>911</v>
      </c>
      <c r="B104" s="9" t="s">
        <v>223</v>
      </c>
      <c r="C104" s="9" t="s">
        <v>1479</v>
      </c>
      <c r="D104" s="4" t="s">
        <v>912</v>
      </c>
      <c r="E104" s="14" t="s">
        <v>912</v>
      </c>
      <c r="F104" s="14" t="s">
        <v>913</v>
      </c>
      <c r="G104" s="14" t="s">
        <v>911</v>
      </c>
      <c r="H104" s="9" t="s">
        <v>1654</v>
      </c>
      <c r="I104" s="3">
        <v>2632213.6818712936</v>
      </c>
      <c r="J104" s="3">
        <v>1512032.6010143871</v>
      </c>
      <c r="K104" s="3">
        <f t="shared" si="4"/>
        <v>4144246.2828856809</v>
      </c>
      <c r="L104" s="3">
        <f>IFERROR(INDEX('CHIRP Payment Calc'!K:K,MATCH(A:A,'CHIRP Payment Calc'!A:A,0)),0)</f>
        <v>6624679.6959412862</v>
      </c>
      <c r="M104" s="3">
        <f t="shared" si="5"/>
        <v>-2480433.4130556053</v>
      </c>
    </row>
    <row r="105" spans="1:13">
      <c r="A105" s="9" t="s">
        <v>465</v>
      </c>
      <c r="B105" s="9" t="s">
        <v>223</v>
      </c>
      <c r="C105" s="9" t="s">
        <v>1582</v>
      </c>
      <c r="D105" s="4" t="s">
        <v>466</v>
      </c>
      <c r="E105" s="14" t="s">
        <v>466</v>
      </c>
      <c r="F105" s="14" t="s">
        <v>467</v>
      </c>
      <c r="G105" s="14" t="s">
        <v>465</v>
      </c>
      <c r="H105" s="9" t="s">
        <v>467</v>
      </c>
      <c r="I105" s="3">
        <v>3495030.4468916585</v>
      </c>
      <c r="J105" s="3">
        <v>1755166.2832173081</v>
      </c>
      <c r="K105" s="3">
        <f t="shared" si="4"/>
        <v>5250196.7301089671</v>
      </c>
      <c r="L105" s="3">
        <f>IFERROR(INDEX('CHIRP Payment Calc'!K:K,MATCH(A:A,'CHIRP Payment Calc'!A:A,0)),0)</f>
        <v>21710186.011316251</v>
      </c>
      <c r="M105" s="3">
        <f t="shared" si="5"/>
        <v>-16459989.281207284</v>
      </c>
    </row>
    <row r="106" spans="1:13">
      <c r="A106" s="9" t="s">
        <v>1565</v>
      </c>
      <c r="B106" s="9" t="s">
        <v>223</v>
      </c>
      <c r="C106" s="9" t="s">
        <v>1582</v>
      </c>
      <c r="D106" s="4" t="s">
        <v>1583</v>
      </c>
      <c r="E106" s="14" t="s">
        <v>1583</v>
      </c>
      <c r="F106" s="14" t="s">
        <v>1351</v>
      </c>
      <c r="G106" s="14" t="s">
        <v>1565</v>
      </c>
      <c r="H106" s="9" t="s">
        <v>2177</v>
      </c>
      <c r="I106" s="3">
        <v>82791.59854816203</v>
      </c>
      <c r="J106" s="3">
        <v>674913.05874921731</v>
      </c>
      <c r="K106" s="3">
        <f t="shared" si="4"/>
        <v>757704.65729737934</v>
      </c>
      <c r="L106" s="3">
        <f>IFERROR(INDEX('CHIRP Payment Calc'!K:K,MATCH(A:A,'CHIRP Payment Calc'!A:A,0)),0)</f>
        <v>0</v>
      </c>
      <c r="M106" s="3">
        <f t="shared" si="5"/>
        <v>757704.65729737934</v>
      </c>
    </row>
    <row r="107" spans="1:13">
      <c r="A107" s="9" t="s">
        <v>1558</v>
      </c>
      <c r="B107" s="9" t="s">
        <v>223</v>
      </c>
      <c r="C107" s="9" t="s">
        <v>1554</v>
      </c>
      <c r="D107" s="4" t="s">
        <v>1641</v>
      </c>
      <c r="E107" s="14" t="s">
        <v>1641</v>
      </c>
      <c r="F107" s="14" t="s">
        <v>1040</v>
      </c>
      <c r="G107" s="14" t="s">
        <v>1558</v>
      </c>
      <c r="H107" s="9" t="s">
        <v>1640</v>
      </c>
      <c r="I107" s="3">
        <v>58350219.394096695</v>
      </c>
      <c r="J107" s="3">
        <v>48544246.672889248</v>
      </c>
      <c r="K107" s="3">
        <f t="shared" si="4"/>
        <v>106894466.06698593</v>
      </c>
      <c r="L107" s="3">
        <f>IFERROR(INDEX('CHIRP Payment Calc'!K:K,MATCH(A:A,'CHIRP Payment Calc'!A:A,0)),0)</f>
        <v>159860222.59294385</v>
      </c>
      <c r="M107" s="3">
        <f t="shared" si="5"/>
        <v>-52965756.525957912</v>
      </c>
    </row>
    <row r="108" spans="1:13">
      <c r="A108" s="9" t="s">
        <v>126</v>
      </c>
      <c r="B108" s="9" t="s">
        <v>1189</v>
      </c>
      <c r="C108" s="9" t="s">
        <v>1594</v>
      </c>
      <c r="D108" s="4" t="s">
        <v>127</v>
      </c>
      <c r="E108" s="14" t="s">
        <v>127</v>
      </c>
      <c r="F108" s="14" t="s">
        <v>128</v>
      </c>
      <c r="G108" s="14" t="s">
        <v>126</v>
      </c>
      <c r="H108" s="9" t="s">
        <v>2176</v>
      </c>
      <c r="I108" s="3">
        <v>25547874.760549922</v>
      </c>
      <c r="J108" s="3">
        <v>184198.23084407992</v>
      </c>
      <c r="K108" s="3">
        <f t="shared" si="4"/>
        <v>25732072.991394002</v>
      </c>
      <c r="L108" s="3">
        <f>IFERROR(INDEX('CHIRP Payment Calc'!K:K,MATCH(A:A,'CHIRP Payment Calc'!A:A,0)),0)</f>
        <v>34001282.456998542</v>
      </c>
      <c r="M108" s="3">
        <f t="shared" si="5"/>
        <v>-8269209.46560454</v>
      </c>
    </row>
    <row r="109" spans="1:13">
      <c r="A109" s="9" t="e">
        <v>#N/A</v>
      </c>
      <c r="B109" s="15" t="s">
        <v>1189</v>
      </c>
      <c r="C109" s="15" t="s">
        <v>1796</v>
      </c>
      <c r="D109" s="4" t="s">
        <v>2175</v>
      </c>
      <c r="E109" s="14" t="e">
        <v>#N/A</v>
      </c>
      <c r="F109" s="14" t="e">
        <v>#N/A</v>
      </c>
      <c r="G109" s="14" t="e">
        <v>#N/A</v>
      </c>
      <c r="H109" s="9" t="s">
        <v>2174</v>
      </c>
      <c r="I109" s="3">
        <v>225.40894833942929</v>
      </c>
      <c r="J109" s="3">
        <v>0</v>
      </c>
      <c r="K109" s="3">
        <f t="shared" si="4"/>
        <v>225.40894833942929</v>
      </c>
      <c r="L109" s="3">
        <f>IFERROR(INDEX('CHIRP Payment Calc'!K:K,MATCH(A:A,'CHIRP Payment Calc'!A:A,0)),0)</f>
        <v>0</v>
      </c>
      <c r="M109" s="3">
        <f t="shared" si="5"/>
        <v>225.40894833942929</v>
      </c>
    </row>
    <row r="110" spans="1:13">
      <c r="A110" s="9" t="s">
        <v>2322</v>
      </c>
      <c r="B110" s="9" t="s">
        <v>1189</v>
      </c>
      <c r="C110" s="9" t="s">
        <v>1796</v>
      </c>
      <c r="D110" s="4" t="s">
        <v>1496</v>
      </c>
      <c r="E110" s="14" t="e">
        <v>#N/A</v>
      </c>
      <c r="F110" s="14" t="e">
        <v>#N/A</v>
      </c>
      <c r="G110" s="14" t="e">
        <v>#N/A</v>
      </c>
      <c r="H110" s="9" t="s">
        <v>2173</v>
      </c>
      <c r="I110" s="3">
        <v>0</v>
      </c>
      <c r="J110" s="3">
        <v>0</v>
      </c>
      <c r="K110" s="3">
        <f t="shared" si="4"/>
        <v>0</v>
      </c>
      <c r="L110" s="3">
        <f>IFERROR(INDEX('CHIRP Payment Calc'!K:K,MATCH(A:A,'CHIRP Payment Calc'!A:A,0)),0)</f>
        <v>0</v>
      </c>
      <c r="M110" s="3">
        <f t="shared" si="5"/>
        <v>0</v>
      </c>
    </row>
    <row r="111" spans="1:13">
      <c r="A111" s="9" t="s">
        <v>1348</v>
      </c>
      <c r="B111" s="9" t="s">
        <v>1189</v>
      </c>
      <c r="C111" s="9" t="s">
        <v>1796</v>
      </c>
      <c r="D111" s="4" t="s">
        <v>1349</v>
      </c>
      <c r="E111" s="14" t="s">
        <v>1349</v>
      </c>
      <c r="F111" s="14" t="s">
        <v>1350</v>
      </c>
      <c r="G111" s="14" t="s">
        <v>1348</v>
      </c>
      <c r="H111" s="9" t="s">
        <v>2172</v>
      </c>
      <c r="I111" s="3">
        <v>4359600.4376396267</v>
      </c>
      <c r="J111" s="3">
        <v>0</v>
      </c>
      <c r="K111" s="3">
        <f t="shared" si="4"/>
        <v>4359600.4376396267</v>
      </c>
      <c r="L111" s="3">
        <f>IFERROR(INDEX('CHIRP Payment Calc'!K:K,MATCH(A:A,'CHIRP Payment Calc'!A:A,0)),0)</f>
        <v>4493867.2808380695</v>
      </c>
      <c r="M111" s="3">
        <f t="shared" si="5"/>
        <v>-134266.84319844283</v>
      </c>
    </row>
    <row r="112" spans="1:13">
      <c r="A112" s="9" t="s">
        <v>1186</v>
      </c>
      <c r="B112" s="9" t="s">
        <v>1189</v>
      </c>
      <c r="C112" s="9" t="s">
        <v>1796</v>
      </c>
      <c r="D112" s="4" t="s">
        <v>1187</v>
      </c>
      <c r="E112" s="14" t="s">
        <v>1187</v>
      </c>
      <c r="F112" s="14" t="s">
        <v>1188</v>
      </c>
      <c r="G112" s="14" t="s">
        <v>1186</v>
      </c>
      <c r="H112" s="9" t="s">
        <v>2171</v>
      </c>
      <c r="I112" s="3">
        <v>0</v>
      </c>
      <c r="J112" s="3">
        <v>0</v>
      </c>
      <c r="K112" s="3">
        <f t="shared" si="4"/>
        <v>0</v>
      </c>
      <c r="L112" s="3">
        <f>IFERROR(INDEX('CHIRP Payment Calc'!K:K,MATCH(A:A,'CHIRP Payment Calc'!A:A,0)),0)</f>
        <v>0</v>
      </c>
      <c r="M112" s="3">
        <f t="shared" si="5"/>
        <v>0</v>
      </c>
    </row>
    <row r="113" spans="1:13">
      <c r="A113" s="9" t="s">
        <v>165</v>
      </c>
      <c r="B113" s="9" t="s">
        <v>1189</v>
      </c>
      <c r="C113" s="9" t="s">
        <v>222</v>
      </c>
      <c r="D113" s="4" t="s">
        <v>166</v>
      </c>
      <c r="E113" s="14" t="s">
        <v>166</v>
      </c>
      <c r="F113" s="14" t="s">
        <v>167</v>
      </c>
      <c r="G113" s="14" t="s">
        <v>165</v>
      </c>
      <c r="H113" s="9" t="s">
        <v>2170</v>
      </c>
      <c r="I113" s="3">
        <v>2942681.5822862093</v>
      </c>
      <c r="J113" s="3">
        <v>761116.35487859161</v>
      </c>
      <c r="K113" s="3">
        <f t="shared" si="4"/>
        <v>3703797.9371648012</v>
      </c>
      <c r="L113" s="3">
        <f>IFERROR(INDEX('CHIRP Payment Calc'!K:K,MATCH(A:A,'CHIRP Payment Calc'!A:A,0)),0)</f>
        <v>5016505.4265349749</v>
      </c>
      <c r="M113" s="3">
        <f t="shared" si="5"/>
        <v>-1312707.4893701738</v>
      </c>
    </row>
    <row r="114" spans="1:13">
      <c r="A114" s="9" t="s">
        <v>368</v>
      </c>
      <c r="B114" s="9" t="s">
        <v>1189</v>
      </c>
      <c r="C114" s="9" t="s">
        <v>222</v>
      </c>
      <c r="D114" s="4" t="s">
        <v>369</v>
      </c>
      <c r="E114" s="14" t="s">
        <v>369</v>
      </c>
      <c r="F114" s="14" t="s">
        <v>370</v>
      </c>
      <c r="G114" s="14" t="s">
        <v>368</v>
      </c>
      <c r="H114" s="9" t="s">
        <v>2169</v>
      </c>
      <c r="I114" s="3">
        <v>0</v>
      </c>
      <c r="J114" s="3">
        <v>0</v>
      </c>
      <c r="K114" s="3">
        <f t="shared" si="4"/>
        <v>0</v>
      </c>
      <c r="L114" s="3">
        <f>IFERROR(INDEX('CHIRP Payment Calc'!K:K,MATCH(A:A,'CHIRP Payment Calc'!A:A,0)),0)</f>
        <v>0</v>
      </c>
      <c r="M114" s="3">
        <f t="shared" si="5"/>
        <v>0</v>
      </c>
    </row>
    <row r="115" spans="1:13">
      <c r="A115" s="9" t="s">
        <v>2167</v>
      </c>
      <c r="B115" s="9" t="s">
        <v>1189</v>
      </c>
      <c r="C115" s="9" t="s">
        <v>222</v>
      </c>
      <c r="D115" s="4" t="s">
        <v>2168</v>
      </c>
      <c r="E115" s="14" t="s">
        <v>2168</v>
      </c>
      <c r="F115" s="14" t="e">
        <v>#N/A</v>
      </c>
      <c r="G115" s="14" t="s">
        <v>2167</v>
      </c>
      <c r="H115" s="9" t="s">
        <v>2166</v>
      </c>
      <c r="I115" s="3">
        <v>0</v>
      </c>
      <c r="J115" s="3">
        <v>0</v>
      </c>
      <c r="K115" s="3">
        <f t="shared" si="4"/>
        <v>0</v>
      </c>
      <c r="L115" s="3">
        <f>IFERROR(INDEX('CHIRP Payment Calc'!K:K,MATCH(A:A,'CHIRP Payment Calc'!A:A,0)),0)</f>
        <v>0</v>
      </c>
      <c r="M115" s="3">
        <f t="shared" si="5"/>
        <v>0</v>
      </c>
    </row>
    <row r="116" spans="1:13">
      <c r="A116" s="9" t="s">
        <v>252</v>
      </c>
      <c r="B116" s="9" t="s">
        <v>1189</v>
      </c>
      <c r="C116" s="9" t="s">
        <v>222</v>
      </c>
      <c r="D116" s="4" t="s">
        <v>2165</v>
      </c>
      <c r="E116" s="14" t="s">
        <v>253</v>
      </c>
      <c r="F116" s="14" t="s">
        <v>254</v>
      </c>
      <c r="G116" s="14" t="s">
        <v>252</v>
      </c>
      <c r="H116" s="9" t="s">
        <v>2164</v>
      </c>
      <c r="I116" s="3">
        <v>0</v>
      </c>
      <c r="J116" s="3">
        <v>0</v>
      </c>
      <c r="K116" s="3">
        <f t="shared" si="4"/>
        <v>0</v>
      </c>
      <c r="L116" s="3">
        <f>IFERROR(INDEX('CHIRP Payment Calc'!K:K,MATCH(A:A,'CHIRP Payment Calc'!A:A,0)),0)</f>
        <v>0</v>
      </c>
      <c r="M116" s="3">
        <f t="shared" si="5"/>
        <v>0</v>
      </c>
    </row>
    <row r="117" spans="1:13">
      <c r="A117" s="9" t="s">
        <v>1560</v>
      </c>
      <c r="B117" s="9" t="s">
        <v>1189</v>
      </c>
      <c r="C117" s="9" t="s">
        <v>222</v>
      </c>
      <c r="D117" s="4" t="s">
        <v>1616</v>
      </c>
      <c r="E117" s="14" t="s">
        <v>1616</v>
      </c>
      <c r="F117" s="14" t="s">
        <v>1161</v>
      </c>
      <c r="G117" s="14" t="s">
        <v>1560</v>
      </c>
      <c r="H117" s="9" t="s">
        <v>2163</v>
      </c>
      <c r="I117" s="3">
        <v>974736.96794865187</v>
      </c>
      <c r="J117" s="3">
        <v>2035829.9296351357</v>
      </c>
      <c r="K117" s="3">
        <f t="shared" si="4"/>
        <v>3010566.8975837873</v>
      </c>
      <c r="L117" s="3">
        <f>IFERROR(INDEX('CHIRP Payment Calc'!K:K,MATCH(A:A,'CHIRP Payment Calc'!A:A,0)),0)</f>
        <v>3276427.5359821199</v>
      </c>
      <c r="M117" s="3">
        <f t="shared" si="5"/>
        <v>-265860.63839833252</v>
      </c>
    </row>
    <row r="118" spans="1:13">
      <c r="A118" s="9" t="s">
        <v>1693</v>
      </c>
      <c r="B118" s="9" t="s">
        <v>1189</v>
      </c>
      <c r="C118" s="9" t="s">
        <v>222</v>
      </c>
      <c r="D118" s="4" t="s">
        <v>1694</v>
      </c>
      <c r="E118" s="14" t="s">
        <v>1694</v>
      </c>
      <c r="F118" s="14" t="e">
        <v>#N/A</v>
      </c>
      <c r="G118" s="14" t="s">
        <v>1693</v>
      </c>
      <c r="H118" s="9" t="s">
        <v>2162</v>
      </c>
      <c r="I118" s="3">
        <v>0</v>
      </c>
      <c r="J118" s="3">
        <v>0</v>
      </c>
      <c r="K118" s="3">
        <f t="shared" si="4"/>
        <v>0</v>
      </c>
      <c r="L118" s="3">
        <f>IFERROR(INDEX('CHIRP Payment Calc'!K:K,MATCH(A:A,'CHIRP Payment Calc'!A:A,0)),0)</f>
        <v>0</v>
      </c>
      <c r="M118" s="3">
        <f t="shared" si="5"/>
        <v>0</v>
      </c>
    </row>
    <row r="119" spans="1:13">
      <c r="A119" s="9" t="s">
        <v>1083</v>
      </c>
      <c r="B119" s="9" t="s">
        <v>1189</v>
      </c>
      <c r="C119" s="9" t="s">
        <v>222</v>
      </c>
      <c r="D119" s="4" t="s">
        <v>1084</v>
      </c>
      <c r="E119" s="14" t="s">
        <v>1084</v>
      </c>
      <c r="F119" s="14" t="s">
        <v>1085</v>
      </c>
      <c r="G119" s="14" t="s">
        <v>1083</v>
      </c>
      <c r="H119" s="9" t="s">
        <v>2161</v>
      </c>
      <c r="I119" s="3">
        <v>1363032.3372680123</v>
      </c>
      <c r="J119" s="3">
        <v>706135.75182183937</v>
      </c>
      <c r="K119" s="3">
        <f t="shared" si="4"/>
        <v>2069168.0890898518</v>
      </c>
      <c r="L119" s="3">
        <f>IFERROR(INDEX('CHIRP Payment Calc'!K:K,MATCH(A:A,'CHIRP Payment Calc'!A:A,0)),0)</f>
        <v>3166595.6866743471</v>
      </c>
      <c r="M119" s="3">
        <f t="shared" si="5"/>
        <v>-1097427.5975844953</v>
      </c>
    </row>
    <row r="120" spans="1:13">
      <c r="A120" s="9" t="s">
        <v>117</v>
      </c>
      <c r="B120" s="9" t="s">
        <v>1189</v>
      </c>
      <c r="C120" s="9" t="s">
        <v>222</v>
      </c>
      <c r="D120" s="4" t="s">
        <v>118</v>
      </c>
      <c r="E120" s="14" t="s">
        <v>118</v>
      </c>
      <c r="F120" s="14" t="s">
        <v>119</v>
      </c>
      <c r="G120" s="14" t="s">
        <v>117</v>
      </c>
      <c r="H120" s="9" t="s">
        <v>2160</v>
      </c>
      <c r="I120" s="3">
        <v>168493.77016137808</v>
      </c>
      <c r="J120" s="3">
        <v>135963.37937621554</v>
      </c>
      <c r="K120" s="3">
        <f t="shared" si="4"/>
        <v>304457.14953759359</v>
      </c>
      <c r="L120" s="3">
        <f>IFERROR(INDEX('CHIRP Payment Calc'!K:K,MATCH(A:A,'CHIRP Payment Calc'!A:A,0)),0)</f>
        <v>0</v>
      </c>
      <c r="M120" s="3">
        <f t="shared" si="5"/>
        <v>304457.14953759359</v>
      </c>
    </row>
    <row r="121" spans="1:13">
      <c r="A121" s="9" t="s">
        <v>1559</v>
      </c>
      <c r="B121" s="9" t="s">
        <v>1189</v>
      </c>
      <c r="C121" s="9" t="s">
        <v>222</v>
      </c>
      <c r="D121" s="4" t="s">
        <v>1600</v>
      </c>
      <c r="E121" s="14" t="s">
        <v>1600</v>
      </c>
      <c r="F121" s="14" t="s">
        <v>1068</v>
      </c>
      <c r="G121" s="14" t="s">
        <v>1559</v>
      </c>
      <c r="H121" s="9" t="s">
        <v>2159</v>
      </c>
      <c r="I121" s="3">
        <v>18656301.149229702</v>
      </c>
      <c r="J121" s="3">
        <v>3284311.1329363654</v>
      </c>
      <c r="K121" s="3">
        <f t="shared" si="4"/>
        <v>21940612.282166068</v>
      </c>
      <c r="L121" s="3">
        <f>IFERROR(INDEX('CHIRP Payment Calc'!K:K,MATCH(A:A,'CHIRP Payment Calc'!A:A,0)),0)</f>
        <v>28747823.595742363</v>
      </c>
      <c r="M121" s="3">
        <f t="shared" si="5"/>
        <v>-6807211.313576296</v>
      </c>
    </row>
    <row r="122" spans="1:13">
      <c r="A122" s="9" t="s">
        <v>1571</v>
      </c>
      <c r="B122" s="9" t="s">
        <v>1189</v>
      </c>
      <c r="C122" s="9" t="s">
        <v>222</v>
      </c>
      <c r="D122" s="4" t="s">
        <v>1532</v>
      </c>
      <c r="E122" s="14" t="s">
        <v>1532</v>
      </c>
      <c r="F122" s="14" t="s">
        <v>1533</v>
      </c>
      <c r="G122" s="14" t="s">
        <v>1571</v>
      </c>
      <c r="H122" s="9" t="s">
        <v>2158</v>
      </c>
      <c r="I122" s="3">
        <v>9606.9977227061809</v>
      </c>
      <c r="J122" s="3">
        <v>0</v>
      </c>
      <c r="K122" s="3">
        <f t="shared" si="4"/>
        <v>9606.9977227061809</v>
      </c>
      <c r="L122" s="3">
        <f>IFERROR(INDEX('CHIRP Payment Calc'!K:K,MATCH(A:A,'CHIRP Payment Calc'!A:A,0)),0)</f>
        <v>0</v>
      </c>
      <c r="M122" s="3">
        <f t="shared" si="5"/>
        <v>9606.9977227061809</v>
      </c>
    </row>
    <row r="123" spans="1:13">
      <c r="A123" s="9" t="s">
        <v>704</v>
      </c>
      <c r="B123" s="9" t="s">
        <v>1189</v>
      </c>
      <c r="C123" s="9" t="s">
        <v>222</v>
      </c>
      <c r="D123" s="4" t="s">
        <v>705</v>
      </c>
      <c r="E123" s="14" t="s">
        <v>705</v>
      </c>
      <c r="F123" s="14" t="s">
        <v>706</v>
      </c>
      <c r="G123" s="14" t="s">
        <v>704</v>
      </c>
      <c r="H123" s="9" t="s">
        <v>2157</v>
      </c>
      <c r="I123" s="3">
        <v>18897924.70417339</v>
      </c>
      <c r="J123" s="3">
        <v>7676353.2867042497</v>
      </c>
      <c r="K123" s="3">
        <f t="shared" si="4"/>
        <v>26574277.99087764</v>
      </c>
      <c r="L123" s="3">
        <f>IFERROR(INDEX('CHIRP Payment Calc'!K:K,MATCH(A:A,'CHIRP Payment Calc'!A:A,0)),0)</f>
        <v>35329253.340227112</v>
      </c>
      <c r="M123" s="3">
        <f t="shared" si="5"/>
        <v>-8754975.3493494727</v>
      </c>
    </row>
    <row r="124" spans="1:13">
      <c r="A124" s="9" t="s">
        <v>1080</v>
      </c>
      <c r="B124" s="9" t="s">
        <v>1189</v>
      </c>
      <c r="C124" s="9" t="s">
        <v>222</v>
      </c>
      <c r="D124" s="4" t="s">
        <v>1081</v>
      </c>
      <c r="E124" s="14" t="s">
        <v>1081</v>
      </c>
      <c r="F124" s="14" t="s">
        <v>1082</v>
      </c>
      <c r="G124" s="14" t="s">
        <v>1080</v>
      </c>
      <c r="H124" s="9" t="s">
        <v>2156</v>
      </c>
      <c r="I124" s="3">
        <v>10560057.221958436</v>
      </c>
      <c r="J124" s="3">
        <v>2853509.4379051924</v>
      </c>
      <c r="K124" s="3">
        <f t="shared" si="4"/>
        <v>13413566.659863628</v>
      </c>
      <c r="L124" s="3">
        <f>IFERROR(INDEX('CHIRP Payment Calc'!K:K,MATCH(A:A,'CHIRP Payment Calc'!A:A,0)),0)</f>
        <v>20149626.234105907</v>
      </c>
      <c r="M124" s="3">
        <f t="shared" si="5"/>
        <v>-6736059.5742422789</v>
      </c>
    </row>
    <row r="125" spans="1:13">
      <c r="A125" s="9" t="s">
        <v>701</v>
      </c>
      <c r="B125" s="9" t="s">
        <v>1189</v>
      </c>
      <c r="C125" s="9" t="s">
        <v>1554</v>
      </c>
      <c r="D125" s="4" t="s">
        <v>702</v>
      </c>
      <c r="E125" s="14" t="s">
        <v>702</v>
      </c>
      <c r="F125" s="14" t="s">
        <v>703</v>
      </c>
      <c r="G125" s="14" t="s">
        <v>701</v>
      </c>
      <c r="H125" s="9" t="s">
        <v>2155</v>
      </c>
      <c r="I125" s="3">
        <v>5981657.7747466909</v>
      </c>
      <c r="J125" s="3">
        <v>8008782.3274075119</v>
      </c>
      <c r="K125" s="3">
        <f t="shared" si="4"/>
        <v>13990440.102154203</v>
      </c>
      <c r="L125" s="3">
        <f>IFERROR(INDEX('CHIRP Payment Calc'!K:K,MATCH(A:A,'CHIRP Payment Calc'!A:A,0)),0)</f>
        <v>19258553.56997706</v>
      </c>
      <c r="M125" s="3">
        <f t="shared" si="5"/>
        <v>-5268113.4678228572</v>
      </c>
    </row>
    <row r="126" spans="1:13">
      <c r="A126" s="9" t="s">
        <v>168</v>
      </c>
      <c r="B126" s="9" t="s">
        <v>300</v>
      </c>
      <c r="C126" s="9" t="s">
        <v>1594</v>
      </c>
      <c r="D126" s="4" t="s">
        <v>169</v>
      </c>
      <c r="E126" s="14" t="s">
        <v>169</v>
      </c>
      <c r="F126" s="14" t="s">
        <v>170</v>
      </c>
      <c r="G126" s="14" t="s">
        <v>168</v>
      </c>
      <c r="H126" s="9" t="s">
        <v>2154</v>
      </c>
      <c r="I126" s="3">
        <v>2496945.62818478</v>
      </c>
      <c r="J126" s="3">
        <v>0</v>
      </c>
      <c r="K126" s="3">
        <f t="shared" si="4"/>
        <v>2496945.62818478</v>
      </c>
      <c r="L126" s="3">
        <f>IFERROR(INDEX('CHIRP Payment Calc'!K:K,MATCH(A:A,'CHIRP Payment Calc'!A:A,0)),0)</f>
        <v>0</v>
      </c>
      <c r="M126" s="3">
        <f t="shared" si="5"/>
        <v>2496945.62818478</v>
      </c>
    </row>
    <row r="127" spans="1:13">
      <c r="A127" s="9" t="s">
        <v>425</v>
      </c>
      <c r="B127" s="9" t="s">
        <v>300</v>
      </c>
      <c r="C127" s="9" t="s">
        <v>1594</v>
      </c>
      <c r="D127" s="4" t="s">
        <v>426</v>
      </c>
      <c r="E127" s="14" t="s">
        <v>426</v>
      </c>
      <c r="F127" s="14" t="s">
        <v>427</v>
      </c>
      <c r="G127" s="14" t="s">
        <v>425</v>
      </c>
      <c r="H127" s="9" t="s">
        <v>1599</v>
      </c>
      <c r="I127" s="3">
        <v>440424448.21043444</v>
      </c>
      <c r="J127" s="3">
        <v>5858705.9648445481</v>
      </c>
      <c r="K127" s="3">
        <f t="shared" si="4"/>
        <v>446283154.17527896</v>
      </c>
      <c r="L127" s="3">
        <f>IFERROR(INDEX('CHIRP Payment Calc'!K:K,MATCH(A:A,'CHIRP Payment Calc'!A:A,0)),0)</f>
        <v>615636976.0105505</v>
      </c>
      <c r="M127" s="3">
        <f t="shared" si="5"/>
        <v>-169353821.83527154</v>
      </c>
    </row>
    <row r="128" spans="1:13">
      <c r="A128" s="9" t="s">
        <v>395</v>
      </c>
      <c r="B128" s="9" t="s">
        <v>300</v>
      </c>
      <c r="C128" s="9" t="s">
        <v>1594</v>
      </c>
      <c r="D128" s="4" t="s">
        <v>396</v>
      </c>
      <c r="E128" s="14" t="s">
        <v>396</v>
      </c>
      <c r="F128" s="14" t="s">
        <v>397</v>
      </c>
      <c r="G128" s="14" t="s">
        <v>395</v>
      </c>
      <c r="H128" s="9" t="s">
        <v>1746</v>
      </c>
      <c r="I128" s="3">
        <v>1075391.1354460684</v>
      </c>
      <c r="J128" s="3">
        <v>0</v>
      </c>
      <c r="K128" s="3">
        <f t="shared" si="4"/>
        <v>1075391.1354460684</v>
      </c>
      <c r="L128" s="3">
        <f>IFERROR(INDEX('CHIRP Payment Calc'!K:K,MATCH(A:A,'CHIRP Payment Calc'!A:A,0)),0)</f>
        <v>0</v>
      </c>
      <c r="M128" s="3">
        <f t="shared" si="5"/>
        <v>1075391.1354460684</v>
      </c>
    </row>
    <row r="129" spans="1:13">
      <c r="A129" s="9" t="s">
        <v>398</v>
      </c>
      <c r="B129" s="9" t="s">
        <v>300</v>
      </c>
      <c r="C129" s="9" t="s">
        <v>1594</v>
      </c>
      <c r="D129" s="4" t="s">
        <v>399</v>
      </c>
      <c r="E129" s="14" t="s">
        <v>399</v>
      </c>
      <c r="F129" s="14" t="s">
        <v>400</v>
      </c>
      <c r="G129" s="14" t="s">
        <v>398</v>
      </c>
      <c r="H129" s="9" t="s">
        <v>2153</v>
      </c>
      <c r="I129" s="3">
        <v>750687.53378046665</v>
      </c>
      <c r="J129" s="3">
        <v>0</v>
      </c>
      <c r="K129" s="3">
        <f t="shared" si="4"/>
        <v>750687.53378046665</v>
      </c>
      <c r="L129" s="3">
        <f>IFERROR(INDEX('CHIRP Payment Calc'!K:K,MATCH(A:A,'CHIRP Payment Calc'!A:A,0)),0)</f>
        <v>0</v>
      </c>
      <c r="M129" s="3">
        <f t="shared" si="5"/>
        <v>750687.53378046665</v>
      </c>
    </row>
    <row r="130" spans="1:13">
      <c r="A130" s="9" t="s">
        <v>1333</v>
      </c>
      <c r="B130" s="9" t="s">
        <v>300</v>
      </c>
      <c r="C130" s="9" t="s">
        <v>1796</v>
      </c>
      <c r="D130" s="4" t="s">
        <v>1334</v>
      </c>
      <c r="E130" s="14" t="s">
        <v>1334</v>
      </c>
      <c r="F130" s="14" t="s">
        <v>1335</v>
      </c>
      <c r="G130" s="14" t="s">
        <v>1333</v>
      </c>
      <c r="H130" s="9" t="s">
        <v>2152</v>
      </c>
      <c r="I130" s="3">
        <v>3935195.5785313924</v>
      </c>
      <c r="J130" s="3">
        <v>0</v>
      </c>
      <c r="K130" s="3">
        <f t="shared" si="4"/>
        <v>3935195.5785313924</v>
      </c>
      <c r="L130" s="3">
        <f>IFERROR(INDEX('CHIRP Payment Calc'!K:K,MATCH(A:A,'CHIRP Payment Calc'!A:A,0)),0)</f>
        <v>3755877.1412287853</v>
      </c>
      <c r="M130" s="3">
        <f t="shared" si="5"/>
        <v>179318.43730260711</v>
      </c>
    </row>
    <row r="131" spans="1:13">
      <c r="A131" s="9" t="s">
        <v>488</v>
      </c>
      <c r="B131" s="9" t="s">
        <v>300</v>
      </c>
      <c r="C131" s="9" t="s">
        <v>1796</v>
      </c>
      <c r="D131" s="4" t="s">
        <v>489</v>
      </c>
      <c r="E131" s="14" t="s">
        <v>489</v>
      </c>
      <c r="F131" s="14" t="s">
        <v>490</v>
      </c>
      <c r="G131" s="14" t="s">
        <v>488</v>
      </c>
      <c r="H131" s="9" t="s">
        <v>2151</v>
      </c>
      <c r="I131" s="3">
        <v>1051999.5616684686</v>
      </c>
      <c r="J131" s="3">
        <v>0</v>
      </c>
      <c r="K131" s="3">
        <f t="shared" si="4"/>
        <v>1051999.5616684686</v>
      </c>
      <c r="L131" s="3">
        <f>IFERROR(INDEX('CHIRP Payment Calc'!K:K,MATCH(A:A,'CHIRP Payment Calc'!A:A,0)),0)</f>
        <v>1615316.423902988</v>
      </c>
      <c r="M131" s="3">
        <f t="shared" si="5"/>
        <v>-563316.86223451933</v>
      </c>
    </row>
    <row r="132" spans="1:13">
      <c r="A132" s="9" t="s">
        <v>1218</v>
      </c>
      <c r="B132" s="9" t="s">
        <v>300</v>
      </c>
      <c r="C132" s="9" t="s">
        <v>1796</v>
      </c>
      <c r="D132" s="4" t="s">
        <v>1219</v>
      </c>
      <c r="E132" s="14" t="s">
        <v>1219</v>
      </c>
      <c r="F132" s="14" t="s">
        <v>1220</v>
      </c>
      <c r="G132" s="14" t="s">
        <v>1218</v>
      </c>
      <c r="H132" s="9" t="s">
        <v>2150</v>
      </c>
      <c r="I132" s="3">
        <v>1936335.3760117826</v>
      </c>
      <c r="J132" s="3">
        <v>0</v>
      </c>
      <c r="K132" s="3">
        <f t="shared" si="4"/>
        <v>1936335.3760117826</v>
      </c>
      <c r="L132" s="3">
        <f>IFERROR(INDEX('CHIRP Payment Calc'!K:K,MATCH(A:A,'CHIRP Payment Calc'!A:A,0)),0)</f>
        <v>3171127.9401434958</v>
      </c>
      <c r="M132" s="3">
        <f t="shared" si="5"/>
        <v>-1234792.5641317132</v>
      </c>
    </row>
    <row r="133" spans="1:13">
      <c r="A133" s="9" t="s">
        <v>1356</v>
      </c>
      <c r="B133" s="9" t="s">
        <v>300</v>
      </c>
      <c r="C133" s="9" t="s">
        <v>1796</v>
      </c>
      <c r="D133" s="4" t="s">
        <v>1357</v>
      </c>
      <c r="E133" s="14" t="s">
        <v>1357</v>
      </c>
      <c r="F133" s="14" t="s">
        <v>1358</v>
      </c>
      <c r="G133" s="14" t="s">
        <v>1356</v>
      </c>
      <c r="H133" s="9" t="s">
        <v>2149</v>
      </c>
      <c r="I133" s="3">
        <v>1299417.4048151611</v>
      </c>
      <c r="J133" s="3">
        <v>0</v>
      </c>
      <c r="K133" s="3">
        <f t="shared" si="4"/>
        <v>1299417.4048151611</v>
      </c>
      <c r="L133" s="3">
        <f>IFERROR(INDEX('CHIRP Payment Calc'!K:K,MATCH(A:A,'CHIRP Payment Calc'!A:A,0)),0)</f>
        <v>1584445.9651911401</v>
      </c>
      <c r="M133" s="3">
        <f t="shared" si="5"/>
        <v>-285028.56037597894</v>
      </c>
    </row>
    <row r="134" spans="1:13">
      <c r="A134" s="9" t="s">
        <v>1238</v>
      </c>
      <c r="B134" s="9" t="s">
        <v>300</v>
      </c>
      <c r="C134" s="9" t="s">
        <v>1796</v>
      </c>
      <c r="D134" s="4" t="s">
        <v>1239</v>
      </c>
      <c r="E134" s="14" t="s">
        <v>1239</v>
      </c>
      <c r="F134" s="14" t="s">
        <v>1240</v>
      </c>
      <c r="G134" s="14" t="s">
        <v>1238</v>
      </c>
      <c r="H134" s="9" t="s">
        <v>2148</v>
      </c>
      <c r="I134" s="3">
        <v>0</v>
      </c>
      <c r="J134" s="3">
        <v>0</v>
      </c>
      <c r="K134" s="3">
        <f t="shared" si="4"/>
        <v>0</v>
      </c>
      <c r="L134" s="3">
        <f>IFERROR(INDEX('CHIRP Payment Calc'!K:K,MATCH(A:A,'CHIRP Payment Calc'!A:A,0)),0)</f>
        <v>0</v>
      </c>
      <c r="M134" s="3">
        <f t="shared" si="5"/>
        <v>0</v>
      </c>
    </row>
    <row r="135" spans="1:13">
      <c r="A135" s="9" t="s">
        <v>1353</v>
      </c>
      <c r="B135" s="9" t="s">
        <v>300</v>
      </c>
      <c r="C135" s="9" t="s">
        <v>1796</v>
      </c>
      <c r="D135" s="4" t="s">
        <v>1354</v>
      </c>
      <c r="E135" s="14" t="s">
        <v>1354</v>
      </c>
      <c r="F135" s="14" t="s">
        <v>1355</v>
      </c>
      <c r="G135" s="14" t="s">
        <v>1353</v>
      </c>
      <c r="H135" s="9" t="s">
        <v>2147</v>
      </c>
      <c r="I135" s="3">
        <v>4622021.8167845039</v>
      </c>
      <c r="J135" s="3">
        <v>0</v>
      </c>
      <c r="K135" s="3">
        <f t="shared" si="4"/>
        <v>4622021.8167845039</v>
      </c>
      <c r="L135" s="3">
        <f>IFERROR(INDEX('CHIRP Payment Calc'!K:K,MATCH(A:A,'CHIRP Payment Calc'!A:A,0)),0)</f>
        <v>5628117.6923030084</v>
      </c>
      <c r="M135" s="3">
        <f t="shared" si="5"/>
        <v>-1006095.8755185045</v>
      </c>
    </row>
    <row r="136" spans="1:13">
      <c r="A136" s="9" t="s">
        <v>1524</v>
      </c>
      <c r="B136" s="9" t="s">
        <v>300</v>
      </c>
      <c r="C136" s="9" t="s">
        <v>1796</v>
      </c>
      <c r="D136" s="4" t="s">
        <v>1525</v>
      </c>
      <c r="E136" s="14" t="e">
        <v>#N/A</v>
      </c>
      <c r="F136" s="14" t="e">
        <v>#N/A</v>
      </c>
      <c r="G136" s="14" t="e">
        <v>#N/A</v>
      </c>
      <c r="H136" s="9" t="s">
        <v>2146</v>
      </c>
      <c r="I136" s="3">
        <v>0</v>
      </c>
      <c r="J136" s="3">
        <v>0</v>
      </c>
      <c r="K136" s="3">
        <f t="shared" ref="K136:K199" si="6">I136+J136</f>
        <v>0</v>
      </c>
      <c r="L136" s="3">
        <f>IFERROR(INDEX('CHIRP Payment Calc'!K:K,MATCH(A:A,'CHIRP Payment Calc'!A:A,0)),0)</f>
        <v>0</v>
      </c>
      <c r="M136" s="3">
        <f t="shared" ref="M136:M199" si="7">K136-L136</f>
        <v>0</v>
      </c>
    </row>
    <row r="137" spans="1:13">
      <c r="A137" s="9" t="s">
        <v>1190</v>
      </c>
      <c r="B137" s="9" t="s">
        <v>300</v>
      </c>
      <c r="C137" s="9" t="s">
        <v>1796</v>
      </c>
      <c r="D137" s="4" t="s">
        <v>1191</v>
      </c>
      <c r="E137" s="14" t="s">
        <v>1191</v>
      </c>
      <c r="F137" s="14" t="s">
        <v>1192</v>
      </c>
      <c r="G137" s="14" t="s">
        <v>1190</v>
      </c>
      <c r="H137" s="9" t="s">
        <v>2145</v>
      </c>
      <c r="I137" s="3">
        <v>0</v>
      </c>
      <c r="J137" s="3">
        <v>0</v>
      </c>
      <c r="K137" s="3">
        <f t="shared" si="6"/>
        <v>0</v>
      </c>
      <c r="L137" s="3">
        <f>IFERROR(INDEX('CHIRP Payment Calc'!K:K,MATCH(A:A,'CHIRP Payment Calc'!A:A,0)),0)</f>
        <v>0</v>
      </c>
      <c r="M137" s="3">
        <f t="shared" si="7"/>
        <v>0</v>
      </c>
    </row>
    <row r="138" spans="1:13">
      <c r="A138" s="9" t="s">
        <v>1477</v>
      </c>
      <c r="B138" s="15" t="s">
        <v>310</v>
      </c>
      <c r="C138" s="15" t="s">
        <v>1479</v>
      </c>
      <c r="D138" s="4" t="s">
        <v>1478</v>
      </c>
      <c r="E138" s="14" t="e">
        <v>#N/A</v>
      </c>
      <c r="F138" s="14" t="e">
        <v>#N/A</v>
      </c>
      <c r="G138" s="14" t="e">
        <v>#N/A</v>
      </c>
      <c r="H138" s="9" t="s">
        <v>1953</v>
      </c>
      <c r="I138" s="3">
        <v>687836.21223730384</v>
      </c>
      <c r="J138" s="3">
        <v>222865.88641060537</v>
      </c>
      <c r="K138" s="3">
        <f t="shared" si="6"/>
        <v>910702.09864790924</v>
      </c>
      <c r="L138" s="3">
        <f>IFERROR(INDEX('CHIRP Payment Calc'!K:K,MATCH(A:A,'CHIRP Payment Calc'!A:A,0)),0)</f>
        <v>1982259.4844786073</v>
      </c>
      <c r="M138" s="3">
        <f t="shared" si="7"/>
        <v>-1071557.3858306981</v>
      </c>
    </row>
    <row r="139" spans="1:13">
      <c r="A139" s="9" t="s">
        <v>1265</v>
      </c>
      <c r="B139" s="9" t="s">
        <v>300</v>
      </c>
      <c r="C139" s="9" t="s">
        <v>1796</v>
      </c>
      <c r="D139" s="4" t="s">
        <v>1266</v>
      </c>
      <c r="E139" s="14" t="s">
        <v>1266</v>
      </c>
      <c r="F139" s="14" t="s">
        <v>1267</v>
      </c>
      <c r="G139" s="14" t="s">
        <v>1265</v>
      </c>
      <c r="H139" s="9" t="s">
        <v>2143</v>
      </c>
      <c r="I139" s="3">
        <v>1836881.3324376929</v>
      </c>
      <c r="J139" s="3">
        <v>0</v>
      </c>
      <c r="K139" s="3">
        <f t="shared" si="6"/>
        <v>1836881.3324376929</v>
      </c>
      <c r="L139" s="3">
        <f>IFERROR(INDEX('CHIRP Payment Calc'!K:K,MATCH(A:A,'CHIRP Payment Calc'!A:A,0)),0)</f>
        <v>3703159.7875933875</v>
      </c>
      <c r="M139" s="3">
        <f t="shared" si="7"/>
        <v>-1866278.4551556946</v>
      </c>
    </row>
    <row r="140" spans="1:13">
      <c r="A140" s="9" t="s">
        <v>1231</v>
      </c>
      <c r="B140" s="9" t="s">
        <v>300</v>
      </c>
      <c r="C140" s="9" t="s">
        <v>1796</v>
      </c>
      <c r="D140" s="4" t="s">
        <v>1232</v>
      </c>
      <c r="E140" s="14" t="s">
        <v>1232</v>
      </c>
      <c r="F140" s="14" t="s">
        <v>1233</v>
      </c>
      <c r="G140" s="14" t="s">
        <v>1231</v>
      </c>
      <c r="H140" s="9" t="s">
        <v>2142</v>
      </c>
      <c r="I140" s="3">
        <v>2693516.4098668206</v>
      </c>
      <c r="J140" s="3">
        <v>0</v>
      </c>
      <c r="K140" s="3">
        <f t="shared" si="6"/>
        <v>2693516.4098668206</v>
      </c>
      <c r="L140" s="3">
        <f>IFERROR(INDEX('CHIRP Payment Calc'!K:K,MATCH(A:A,'CHIRP Payment Calc'!A:A,0)),0)</f>
        <v>4620516.3195105875</v>
      </c>
      <c r="M140" s="3">
        <f t="shared" si="7"/>
        <v>-1926999.9096437669</v>
      </c>
    </row>
    <row r="141" spans="1:13">
      <c r="A141" s="9" t="s">
        <v>135</v>
      </c>
      <c r="B141" s="9" t="s">
        <v>1486</v>
      </c>
      <c r="C141" s="9" t="s">
        <v>1545</v>
      </c>
      <c r="D141" s="4" t="s">
        <v>136</v>
      </c>
      <c r="E141" s="14" t="s">
        <v>136</v>
      </c>
      <c r="F141" s="14" t="e">
        <v>#N/A</v>
      </c>
      <c r="G141" s="14" t="s">
        <v>135</v>
      </c>
      <c r="H141" s="9" t="s">
        <v>1980</v>
      </c>
      <c r="I141" s="3">
        <v>224930.23310111393</v>
      </c>
      <c r="J141" s="3">
        <v>114667.62380841179</v>
      </c>
      <c r="K141" s="3">
        <f t="shared" si="6"/>
        <v>339597.8569095257</v>
      </c>
      <c r="L141" s="3">
        <f>IFERROR(INDEX('CHIRP Payment Calc'!K:K,MATCH(A:A,'CHIRP Payment Calc'!A:A,0)),0)</f>
        <v>590173.78247947071</v>
      </c>
      <c r="M141" s="3">
        <f t="shared" si="7"/>
        <v>-250575.92556994502</v>
      </c>
    </row>
    <row r="142" spans="1:13">
      <c r="A142" s="9" t="s">
        <v>1206</v>
      </c>
      <c r="B142" s="9" t="s">
        <v>300</v>
      </c>
      <c r="C142" s="9" t="s">
        <v>1796</v>
      </c>
      <c r="D142" s="4" t="s">
        <v>1207</v>
      </c>
      <c r="E142" s="14" t="s">
        <v>1207</v>
      </c>
      <c r="F142" s="14" t="s">
        <v>1208</v>
      </c>
      <c r="G142" s="14" t="s">
        <v>1206</v>
      </c>
      <c r="H142" s="9" t="s">
        <v>2140</v>
      </c>
      <c r="I142" s="3">
        <v>0</v>
      </c>
      <c r="J142" s="3">
        <v>0</v>
      </c>
      <c r="K142" s="3">
        <f t="shared" si="6"/>
        <v>0</v>
      </c>
      <c r="L142" s="3">
        <f>IFERROR(INDEX('CHIRP Payment Calc'!K:K,MATCH(A:A,'CHIRP Payment Calc'!A:A,0)),0)</f>
        <v>0</v>
      </c>
      <c r="M142" s="3">
        <f t="shared" si="7"/>
        <v>0</v>
      </c>
    </row>
    <row r="143" spans="1:13">
      <c r="A143" s="9" t="s">
        <v>1506</v>
      </c>
      <c r="B143" s="9" t="s">
        <v>300</v>
      </c>
      <c r="C143" s="9" t="s">
        <v>1796</v>
      </c>
      <c r="D143" s="4" t="s">
        <v>1507</v>
      </c>
      <c r="E143" s="14" t="e">
        <v>#N/A</v>
      </c>
      <c r="F143" s="14" t="e">
        <v>#N/A</v>
      </c>
      <c r="G143" s="14" t="e">
        <v>#N/A</v>
      </c>
      <c r="H143" s="9" t="s">
        <v>2139</v>
      </c>
      <c r="I143" s="3">
        <v>0</v>
      </c>
      <c r="J143" s="3">
        <v>0</v>
      </c>
      <c r="K143" s="3">
        <f t="shared" si="6"/>
        <v>0</v>
      </c>
      <c r="L143" s="3">
        <f>IFERROR(INDEX('CHIRP Payment Calc'!K:K,MATCH(A:A,'CHIRP Payment Calc'!A:A,0)),0)</f>
        <v>0</v>
      </c>
      <c r="M143" s="3">
        <f t="shared" si="7"/>
        <v>0</v>
      </c>
    </row>
    <row r="144" spans="1:13">
      <c r="A144" s="9" t="s">
        <v>1312</v>
      </c>
      <c r="B144" s="9" t="s">
        <v>300</v>
      </c>
      <c r="C144" s="9" t="s">
        <v>1796</v>
      </c>
      <c r="D144" s="4" t="s">
        <v>1313</v>
      </c>
      <c r="E144" s="14" t="s">
        <v>1313</v>
      </c>
      <c r="F144" s="14" t="s">
        <v>1314</v>
      </c>
      <c r="G144" s="14" t="s">
        <v>1312</v>
      </c>
      <c r="H144" s="9" t="s">
        <v>2138</v>
      </c>
      <c r="I144" s="3">
        <v>3757348.1823114208</v>
      </c>
      <c r="J144" s="3">
        <v>0</v>
      </c>
      <c r="K144" s="3">
        <f t="shared" si="6"/>
        <v>3757348.1823114208</v>
      </c>
      <c r="L144" s="3">
        <f>IFERROR(INDEX('CHIRP Payment Calc'!K:K,MATCH(A:A,'CHIRP Payment Calc'!A:A,0)),0)</f>
        <v>5092141.6932386216</v>
      </c>
      <c r="M144" s="3">
        <f t="shared" si="7"/>
        <v>-1334793.5109272008</v>
      </c>
    </row>
    <row r="145" spans="1:13">
      <c r="A145" s="9" t="s">
        <v>1285</v>
      </c>
      <c r="B145" s="9" t="s">
        <v>300</v>
      </c>
      <c r="C145" s="9" t="s">
        <v>1796</v>
      </c>
      <c r="D145" s="4" t="s">
        <v>1286</v>
      </c>
      <c r="E145" s="14" t="s">
        <v>1286</v>
      </c>
      <c r="F145" s="14" t="s">
        <v>1287</v>
      </c>
      <c r="G145" s="14" t="s">
        <v>1285</v>
      </c>
      <c r="H145" s="9" t="s">
        <v>2137</v>
      </c>
      <c r="I145" s="3">
        <v>0</v>
      </c>
      <c r="J145" s="3">
        <v>0</v>
      </c>
      <c r="K145" s="3">
        <f t="shared" si="6"/>
        <v>0</v>
      </c>
      <c r="L145" s="3">
        <f>IFERROR(INDEX('CHIRP Payment Calc'!K:K,MATCH(A:A,'CHIRP Payment Calc'!A:A,0)),0)</f>
        <v>0</v>
      </c>
      <c r="M145" s="3">
        <f t="shared" si="7"/>
        <v>0</v>
      </c>
    </row>
    <row r="146" spans="1:13">
      <c r="A146" s="9" t="s">
        <v>1228</v>
      </c>
      <c r="B146" s="9" t="s">
        <v>300</v>
      </c>
      <c r="C146" s="9" t="s">
        <v>1796</v>
      </c>
      <c r="D146" s="4" t="s">
        <v>1229</v>
      </c>
      <c r="E146" s="14" t="s">
        <v>1229</v>
      </c>
      <c r="F146" s="14" t="s">
        <v>1230</v>
      </c>
      <c r="G146" s="14" t="s">
        <v>1228</v>
      </c>
      <c r="H146" s="9" t="s">
        <v>2136</v>
      </c>
      <c r="I146" s="3">
        <v>0</v>
      </c>
      <c r="J146" s="3">
        <v>0</v>
      </c>
      <c r="K146" s="3">
        <f t="shared" si="6"/>
        <v>0</v>
      </c>
      <c r="L146" s="3">
        <f>IFERROR(INDEX('CHIRP Payment Calc'!K:K,MATCH(A:A,'CHIRP Payment Calc'!A:A,0)),0)</f>
        <v>0</v>
      </c>
      <c r="M146" s="3">
        <f t="shared" si="7"/>
        <v>0</v>
      </c>
    </row>
    <row r="147" spans="1:13">
      <c r="A147" s="9" t="s">
        <v>1047</v>
      </c>
      <c r="B147" s="9" t="s">
        <v>300</v>
      </c>
      <c r="C147" s="9" t="s">
        <v>1553</v>
      </c>
      <c r="D147" s="4" t="s">
        <v>1048</v>
      </c>
      <c r="E147" s="14" t="s">
        <v>1048</v>
      </c>
      <c r="F147" s="14" t="s">
        <v>1049</v>
      </c>
      <c r="G147" s="14" t="s">
        <v>1047</v>
      </c>
      <c r="H147" s="9" t="s">
        <v>2135</v>
      </c>
      <c r="I147" s="3">
        <v>4817718.6368209934</v>
      </c>
      <c r="J147" s="3">
        <v>1972822.9921097341</v>
      </c>
      <c r="K147" s="3">
        <f t="shared" si="6"/>
        <v>6790541.628930727</v>
      </c>
      <c r="L147" s="3">
        <f>IFERROR(INDEX('CHIRP Payment Calc'!K:K,MATCH(A:A,'CHIRP Payment Calc'!A:A,0)),0)</f>
        <v>9796194.1255034916</v>
      </c>
      <c r="M147" s="3">
        <f t="shared" si="7"/>
        <v>-3005652.4965727646</v>
      </c>
    </row>
    <row r="148" spans="1:13">
      <c r="A148" s="9" t="s">
        <v>572</v>
      </c>
      <c r="B148" s="9" t="s">
        <v>300</v>
      </c>
      <c r="C148" s="9" t="s">
        <v>222</v>
      </c>
      <c r="D148" s="4" t="s">
        <v>573</v>
      </c>
      <c r="E148" s="14" t="s">
        <v>573</v>
      </c>
      <c r="F148" s="14" t="s">
        <v>574</v>
      </c>
      <c r="G148" s="14" t="s">
        <v>572</v>
      </c>
      <c r="H148" s="9" t="s">
        <v>2134</v>
      </c>
      <c r="I148" s="3">
        <v>30847194.887465943</v>
      </c>
      <c r="J148" s="3">
        <v>410749.74093844387</v>
      </c>
      <c r="K148" s="3">
        <f t="shared" si="6"/>
        <v>31257944.628404386</v>
      </c>
      <c r="L148" s="3">
        <f>IFERROR(INDEX('CHIRP Payment Calc'!K:K,MATCH(A:A,'CHIRP Payment Calc'!A:A,0)),0)</f>
        <v>46848850.62425366</v>
      </c>
      <c r="M148" s="3">
        <f t="shared" si="7"/>
        <v>-15590905.995849274</v>
      </c>
    </row>
    <row r="149" spans="1:13">
      <c r="A149" s="9" t="s">
        <v>297</v>
      </c>
      <c r="B149" s="9" t="s">
        <v>300</v>
      </c>
      <c r="C149" s="9" t="s">
        <v>222</v>
      </c>
      <c r="D149" s="4" t="s">
        <v>298</v>
      </c>
      <c r="E149" s="14" t="s">
        <v>298</v>
      </c>
      <c r="F149" s="14" t="s">
        <v>299</v>
      </c>
      <c r="G149" s="14" t="s">
        <v>297</v>
      </c>
      <c r="H149" s="9" t="s">
        <v>2133</v>
      </c>
      <c r="I149" s="3">
        <v>0</v>
      </c>
      <c r="J149" s="3">
        <v>0</v>
      </c>
      <c r="K149" s="3">
        <f t="shared" si="6"/>
        <v>0</v>
      </c>
      <c r="L149" s="3">
        <f>IFERROR(INDEX('CHIRP Payment Calc'!K:K,MATCH(A:A,'CHIRP Payment Calc'!A:A,0)),0)</f>
        <v>0</v>
      </c>
      <c r="M149" s="3">
        <f t="shared" si="7"/>
        <v>0</v>
      </c>
    </row>
    <row r="150" spans="1:13">
      <c r="A150" s="9" t="s">
        <v>841</v>
      </c>
      <c r="B150" s="9" t="s">
        <v>300</v>
      </c>
      <c r="C150" s="9" t="s">
        <v>222</v>
      </c>
      <c r="D150" s="4" t="s">
        <v>842</v>
      </c>
      <c r="E150" s="14" t="s">
        <v>842</v>
      </c>
      <c r="F150" s="14" t="s">
        <v>843</v>
      </c>
      <c r="G150" s="14" t="s">
        <v>841</v>
      </c>
      <c r="H150" s="9" t="s">
        <v>2132</v>
      </c>
      <c r="I150" s="3">
        <v>46558.774683769356</v>
      </c>
      <c r="J150" s="3">
        <v>44537.451695585325</v>
      </c>
      <c r="K150" s="3">
        <f t="shared" si="6"/>
        <v>91096.226379354688</v>
      </c>
      <c r="L150" s="3">
        <f>IFERROR(INDEX('CHIRP Payment Calc'!K:K,MATCH(A:A,'CHIRP Payment Calc'!A:A,0)),0)</f>
        <v>0</v>
      </c>
      <c r="M150" s="3">
        <f t="shared" si="7"/>
        <v>91096.226379354688</v>
      </c>
    </row>
    <row r="151" spans="1:13">
      <c r="A151" s="9" t="s">
        <v>413</v>
      </c>
      <c r="B151" s="9" t="s">
        <v>300</v>
      </c>
      <c r="C151" s="9" t="s">
        <v>222</v>
      </c>
      <c r="D151" s="4" t="s">
        <v>414</v>
      </c>
      <c r="E151" s="14" t="s">
        <v>414</v>
      </c>
      <c r="F151" s="14" t="s">
        <v>415</v>
      </c>
      <c r="G151" s="14" t="s">
        <v>413</v>
      </c>
      <c r="H151" s="9" t="s">
        <v>2131</v>
      </c>
      <c r="I151" s="3">
        <v>0</v>
      </c>
      <c r="J151" s="3">
        <v>0</v>
      </c>
      <c r="K151" s="3">
        <f t="shared" si="6"/>
        <v>0</v>
      </c>
      <c r="L151" s="3">
        <f>IFERROR(INDEX('CHIRP Payment Calc'!K:K,MATCH(A:A,'CHIRP Payment Calc'!A:A,0)),0)</f>
        <v>0</v>
      </c>
      <c r="M151" s="3">
        <f t="shared" si="7"/>
        <v>0</v>
      </c>
    </row>
    <row r="152" spans="1:13">
      <c r="A152" s="9" t="s">
        <v>1474</v>
      </c>
      <c r="B152" s="9" t="s">
        <v>300</v>
      </c>
      <c r="C152" s="9" t="s">
        <v>222</v>
      </c>
      <c r="D152" s="4" t="s">
        <v>1475</v>
      </c>
      <c r="E152" s="14" t="s">
        <v>1475</v>
      </c>
      <c r="F152" s="14" t="s">
        <v>1476</v>
      </c>
      <c r="G152" s="14" t="s">
        <v>1474</v>
      </c>
      <c r="H152" s="9" t="s">
        <v>2130</v>
      </c>
      <c r="I152" s="3">
        <v>239985.35732198763</v>
      </c>
      <c r="J152" s="3">
        <v>74258.981816836371</v>
      </c>
      <c r="K152" s="3">
        <f t="shared" si="6"/>
        <v>314244.33913882403</v>
      </c>
      <c r="L152" s="3">
        <f>IFERROR(INDEX('CHIRP Payment Calc'!K:K,MATCH(A:A,'CHIRP Payment Calc'!A:A,0)),0)</f>
        <v>583720.36311434128</v>
      </c>
      <c r="M152" s="3">
        <f t="shared" si="7"/>
        <v>-269476.02397551725</v>
      </c>
    </row>
    <row r="153" spans="1:13">
      <c r="A153" s="9" t="s">
        <v>560</v>
      </c>
      <c r="B153" s="9" t="s">
        <v>300</v>
      </c>
      <c r="C153" s="9" t="s">
        <v>222</v>
      </c>
      <c r="D153" s="4" t="s">
        <v>561</v>
      </c>
      <c r="E153" s="14" t="s">
        <v>561</v>
      </c>
      <c r="F153" s="14" t="s">
        <v>562</v>
      </c>
      <c r="G153" s="14" t="s">
        <v>560</v>
      </c>
      <c r="H153" s="9" t="s">
        <v>2129</v>
      </c>
      <c r="I153" s="3">
        <v>22503012.018086329</v>
      </c>
      <c r="J153" s="3">
        <v>6604946.0806889357</v>
      </c>
      <c r="K153" s="3">
        <f t="shared" si="6"/>
        <v>29107958.098775264</v>
      </c>
      <c r="L153" s="3">
        <f>IFERROR(INDEX('CHIRP Payment Calc'!K:K,MATCH(A:A,'CHIRP Payment Calc'!A:A,0)),0)</f>
        <v>42259744.613469504</v>
      </c>
      <c r="M153" s="3">
        <f t="shared" si="7"/>
        <v>-13151786.51469424</v>
      </c>
    </row>
    <row r="154" spans="1:13">
      <c r="A154" s="9" t="s">
        <v>186</v>
      </c>
      <c r="B154" s="9" t="s">
        <v>300</v>
      </c>
      <c r="C154" s="9" t="s">
        <v>222</v>
      </c>
      <c r="D154" s="4" t="s">
        <v>187</v>
      </c>
      <c r="E154" s="14" t="s">
        <v>187</v>
      </c>
      <c r="F154" s="14" t="s">
        <v>188</v>
      </c>
      <c r="G154" s="14" t="s">
        <v>186</v>
      </c>
      <c r="H154" s="9" t="s">
        <v>2128</v>
      </c>
      <c r="I154" s="3">
        <v>651953.59843935887</v>
      </c>
      <c r="J154" s="3">
        <v>3847472.6741576153</v>
      </c>
      <c r="K154" s="3">
        <f t="shared" si="6"/>
        <v>4499426.2725969739</v>
      </c>
      <c r="L154" s="3">
        <f>IFERROR(INDEX('CHIRP Payment Calc'!K:K,MATCH(A:A,'CHIRP Payment Calc'!A:A,0)),0)</f>
        <v>4888122.3677533027</v>
      </c>
      <c r="M154" s="3">
        <f t="shared" si="7"/>
        <v>-388696.09515632875</v>
      </c>
    </row>
    <row r="155" spans="1:13">
      <c r="A155" s="9" t="s">
        <v>575</v>
      </c>
      <c r="B155" s="9" t="s">
        <v>300</v>
      </c>
      <c r="C155" s="9" t="s">
        <v>222</v>
      </c>
      <c r="D155" s="4" t="s">
        <v>576</v>
      </c>
      <c r="E155" s="14" t="s">
        <v>576</v>
      </c>
      <c r="F155" s="14" t="s">
        <v>577</v>
      </c>
      <c r="G155" s="14" t="s">
        <v>575</v>
      </c>
      <c r="H155" s="9" t="s">
        <v>2127</v>
      </c>
      <c r="I155" s="3">
        <v>0</v>
      </c>
      <c r="J155" s="3">
        <v>0</v>
      </c>
      <c r="K155" s="3">
        <f t="shared" si="6"/>
        <v>0</v>
      </c>
      <c r="L155" s="3">
        <f>IFERROR(INDEX('CHIRP Payment Calc'!K:K,MATCH(A:A,'CHIRP Payment Calc'!A:A,0)),0)</f>
        <v>0</v>
      </c>
      <c r="M155" s="3">
        <f t="shared" si="7"/>
        <v>0</v>
      </c>
    </row>
    <row r="156" spans="1:13">
      <c r="A156" s="9" t="s">
        <v>578</v>
      </c>
      <c r="B156" s="9" t="s">
        <v>300</v>
      </c>
      <c r="C156" s="9" t="s">
        <v>222</v>
      </c>
      <c r="D156" s="4" t="s">
        <v>2126</v>
      </c>
      <c r="E156" s="14" t="s">
        <v>579</v>
      </c>
      <c r="F156" s="14" t="s">
        <v>580</v>
      </c>
      <c r="G156" s="14" t="s">
        <v>578</v>
      </c>
      <c r="H156" s="9" t="s">
        <v>2125</v>
      </c>
      <c r="I156" s="3">
        <v>0</v>
      </c>
      <c r="J156" s="3">
        <v>0</v>
      </c>
      <c r="K156" s="3">
        <f t="shared" si="6"/>
        <v>0</v>
      </c>
      <c r="L156" s="3">
        <f>IFERROR(INDEX('CHIRP Payment Calc'!K:K,MATCH(A:A,'CHIRP Payment Calc'!A:A,0)),0)</f>
        <v>0</v>
      </c>
      <c r="M156" s="3">
        <f t="shared" si="7"/>
        <v>0</v>
      </c>
    </row>
    <row r="157" spans="1:13">
      <c r="A157" s="9" t="s">
        <v>261</v>
      </c>
      <c r="B157" s="9" t="s">
        <v>300</v>
      </c>
      <c r="C157" s="9" t="s">
        <v>222</v>
      </c>
      <c r="D157" s="4" t="s">
        <v>262</v>
      </c>
      <c r="E157" s="14" t="s">
        <v>262</v>
      </c>
      <c r="F157" s="14" t="s">
        <v>263</v>
      </c>
      <c r="G157" s="14" t="s">
        <v>261</v>
      </c>
      <c r="H157" s="9" t="s">
        <v>2124</v>
      </c>
      <c r="I157" s="3">
        <v>5486998.7574516097</v>
      </c>
      <c r="J157" s="3">
        <v>0</v>
      </c>
      <c r="K157" s="3">
        <f t="shared" si="6"/>
        <v>5486998.7574516097</v>
      </c>
      <c r="L157" s="3">
        <f>IFERROR(INDEX('CHIRP Payment Calc'!K:K,MATCH(A:A,'CHIRP Payment Calc'!A:A,0)),0)</f>
        <v>11630356.386077596</v>
      </c>
      <c r="M157" s="3">
        <f t="shared" si="7"/>
        <v>-6143357.6286259862</v>
      </c>
    </row>
    <row r="158" spans="1:13">
      <c r="A158" s="9" t="e">
        <v>#N/A</v>
      </c>
      <c r="B158" s="9" t="s">
        <v>300</v>
      </c>
      <c r="C158" s="9" t="s">
        <v>222</v>
      </c>
      <c r="D158" s="4" t="s">
        <v>1517</v>
      </c>
      <c r="E158" s="14" t="e">
        <v>#N/A</v>
      </c>
      <c r="F158" s="14" t="e">
        <v>#N/A</v>
      </c>
      <c r="G158" s="14" t="e">
        <v>#N/A</v>
      </c>
      <c r="H158" s="9" t="s">
        <v>2123</v>
      </c>
      <c r="I158" s="3">
        <v>0</v>
      </c>
      <c r="J158" s="3">
        <v>0</v>
      </c>
      <c r="K158" s="3">
        <f t="shared" si="6"/>
        <v>0</v>
      </c>
      <c r="L158" s="3">
        <f>IFERROR(INDEX('CHIRP Payment Calc'!K:K,MATCH(A:A,'CHIRP Payment Calc'!A:A,0)),0)</f>
        <v>0</v>
      </c>
      <c r="M158" s="3">
        <f t="shared" si="7"/>
        <v>0</v>
      </c>
    </row>
    <row r="159" spans="1:13">
      <c r="A159" s="9" t="s">
        <v>950</v>
      </c>
      <c r="B159" s="9" t="s">
        <v>300</v>
      </c>
      <c r="C159" s="9" t="s">
        <v>222</v>
      </c>
      <c r="D159" s="4" t="s">
        <v>951</v>
      </c>
      <c r="E159" s="14" t="s">
        <v>951</v>
      </c>
      <c r="F159" s="14" t="s">
        <v>952</v>
      </c>
      <c r="G159" s="14" t="s">
        <v>950</v>
      </c>
      <c r="H159" s="9" t="s">
        <v>2122</v>
      </c>
      <c r="I159" s="3">
        <v>1321430.7782562003</v>
      </c>
      <c r="J159" s="3">
        <v>528747.00072054588</v>
      </c>
      <c r="K159" s="3">
        <f t="shared" si="6"/>
        <v>1850177.7789767461</v>
      </c>
      <c r="L159" s="3">
        <f>IFERROR(INDEX('CHIRP Payment Calc'!K:K,MATCH(A:A,'CHIRP Payment Calc'!A:A,0)),0)</f>
        <v>2818771.5094343675</v>
      </c>
      <c r="M159" s="3">
        <f t="shared" si="7"/>
        <v>-968593.73045762139</v>
      </c>
    </row>
    <row r="160" spans="1:13">
      <c r="A160" s="9" t="s">
        <v>1143</v>
      </c>
      <c r="B160" s="9" t="s">
        <v>300</v>
      </c>
      <c r="C160" s="9" t="s">
        <v>222</v>
      </c>
      <c r="D160" s="4" t="s">
        <v>1144</v>
      </c>
      <c r="E160" s="14" t="s">
        <v>1144</v>
      </c>
      <c r="F160" s="14" t="s">
        <v>1145</v>
      </c>
      <c r="G160" s="14" t="s">
        <v>1143</v>
      </c>
      <c r="H160" s="9" t="s">
        <v>2121</v>
      </c>
      <c r="I160" s="3">
        <v>7915.8432122701906</v>
      </c>
      <c r="J160" s="3">
        <v>1186.8373392271683</v>
      </c>
      <c r="K160" s="3">
        <f t="shared" si="6"/>
        <v>9102.6805514973585</v>
      </c>
      <c r="L160" s="3">
        <f>IFERROR(INDEX('CHIRP Payment Calc'!K:K,MATCH(A:A,'CHIRP Payment Calc'!A:A,0)),0)</f>
        <v>0</v>
      </c>
      <c r="M160" s="3">
        <f t="shared" si="7"/>
        <v>9102.6805514973585</v>
      </c>
    </row>
    <row r="161" spans="1:13">
      <c r="A161" s="9" t="s">
        <v>2119</v>
      </c>
      <c r="B161" s="9" t="s">
        <v>300</v>
      </c>
      <c r="C161" s="9" t="s">
        <v>222</v>
      </c>
      <c r="D161" s="4" t="s">
        <v>2120</v>
      </c>
      <c r="E161" s="14" t="s">
        <v>2120</v>
      </c>
      <c r="F161" s="14" t="e">
        <v>#N/A</v>
      </c>
      <c r="G161" s="14" t="s">
        <v>2119</v>
      </c>
      <c r="H161" s="9" t="s">
        <v>2118</v>
      </c>
      <c r="I161" s="3">
        <v>0</v>
      </c>
      <c r="J161" s="3">
        <v>0</v>
      </c>
      <c r="K161" s="3">
        <f t="shared" si="6"/>
        <v>0</v>
      </c>
      <c r="L161" s="3">
        <f>IFERROR(INDEX('CHIRP Payment Calc'!K:K,MATCH(A:A,'CHIRP Payment Calc'!A:A,0)),0)</f>
        <v>0</v>
      </c>
      <c r="M161" s="3">
        <f t="shared" si="7"/>
        <v>0</v>
      </c>
    </row>
    <row r="162" spans="1:13">
      <c r="A162" s="9" t="s">
        <v>2322</v>
      </c>
      <c r="B162" s="9" t="s">
        <v>300</v>
      </c>
      <c r="C162" s="9" t="s">
        <v>222</v>
      </c>
      <c r="D162" s="4" t="s">
        <v>1466</v>
      </c>
      <c r="E162" s="14" t="s">
        <v>2322</v>
      </c>
      <c r="F162" s="14" t="e">
        <v>#N/A</v>
      </c>
      <c r="G162" s="14" t="s">
        <v>2322</v>
      </c>
      <c r="H162" s="9" t="s">
        <v>1467</v>
      </c>
      <c r="I162" s="3">
        <v>0</v>
      </c>
      <c r="J162" s="3">
        <v>0</v>
      </c>
      <c r="K162" s="3">
        <f t="shared" si="6"/>
        <v>0</v>
      </c>
      <c r="L162" s="3">
        <f>IFERROR(INDEX('CHIRP Payment Calc'!K:K,MATCH(A:A,'CHIRP Payment Calc'!A:A,0)),0)</f>
        <v>0</v>
      </c>
      <c r="M162" s="3">
        <f t="shared" si="7"/>
        <v>0</v>
      </c>
    </row>
    <row r="163" spans="1:13">
      <c r="A163" s="9" t="s">
        <v>1614</v>
      </c>
      <c r="B163" s="9" t="s">
        <v>300</v>
      </c>
      <c r="C163" s="9" t="s">
        <v>222</v>
      </c>
      <c r="D163" s="4" t="s">
        <v>1615</v>
      </c>
      <c r="E163" s="14" t="s">
        <v>1615</v>
      </c>
      <c r="F163" s="14" t="s">
        <v>1756</v>
      </c>
      <c r="G163" s="14" t="s">
        <v>1614</v>
      </c>
      <c r="H163" s="9" t="s">
        <v>2117</v>
      </c>
      <c r="I163" s="3">
        <v>10929981.312279847</v>
      </c>
      <c r="J163" s="3">
        <v>8361463.9740544381</v>
      </c>
      <c r="K163" s="3">
        <f t="shared" si="6"/>
        <v>19291445.286334284</v>
      </c>
      <c r="L163" s="3">
        <f>IFERROR(INDEX('CHIRP Payment Calc'!K:K,MATCH(A:A,'CHIRP Payment Calc'!A:A,0)),0)</f>
        <v>27353989.298047818</v>
      </c>
      <c r="M163" s="3">
        <f t="shared" si="7"/>
        <v>-8062544.0117135346</v>
      </c>
    </row>
    <row r="164" spans="1:13">
      <c r="A164" s="9" t="s">
        <v>282</v>
      </c>
      <c r="B164" s="9" t="s">
        <v>300</v>
      </c>
      <c r="C164" s="9" t="s">
        <v>222</v>
      </c>
      <c r="D164" s="4" t="s">
        <v>2116</v>
      </c>
      <c r="E164" s="14" t="s">
        <v>283</v>
      </c>
      <c r="F164" s="14" t="s">
        <v>284</v>
      </c>
      <c r="G164" s="14" t="s">
        <v>282</v>
      </c>
      <c r="H164" s="9" t="s">
        <v>2115</v>
      </c>
      <c r="I164" s="3">
        <v>0</v>
      </c>
      <c r="J164" s="3">
        <v>0</v>
      </c>
      <c r="K164" s="3">
        <f t="shared" si="6"/>
        <v>0</v>
      </c>
      <c r="L164" s="3">
        <f>IFERROR(INDEX('CHIRP Payment Calc'!K:K,MATCH(A:A,'CHIRP Payment Calc'!A:A,0)),0)</f>
        <v>0</v>
      </c>
      <c r="M164" s="3">
        <f t="shared" si="7"/>
        <v>0</v>
      </c>
    </row>
    <row r="165" spans="1:13">
      <c r="A165" s="9" t="s">
        <v>557</v>
      </c>
      <c r="B165" s="9" t="s">
        <v>300</v>
      </c>
      <c r="C165" s="9" t="s">
        <v>222</v>
      </c>
      <c r="D165" s="4" t="s">
        <v>558</v>
      </c>
      <c r="E165" s="14" t="s">
        <v>558</v>
      </c>
      <c r="F165" s="14" t="s">
        <v>559</v>
      </c>
      <c r="G165" s="14" t="s">
        <v>557</v>
      </c>
      <c r="H165" s="9" t="s">
        <v>2114</v>
      </c>
      <c r="I165" s="3">
        <v>16504617.225100929</v>
      </c>
      <c r="J165" s="3">
        <v>6398245.864598278</v>
      </c>
      <c r="K165" s="3">
        <f t="shared" si="6"/>
        <v>22902863.089699209</v>
      </c>
      <c r="L165" s="3">
        <f>IFERROR(INDEX('CHIRP Payment Calc'!K:K,MATCH(A:A,'CHIRP Payment Calc'!A:A,0)),0)</f>
        <v>38696667.243567258</v>
      </c>
      <c r="M165" s="3">
        <f t="shared" si="7"/>
        <v>-15793804.153868049</v>
      </c>
    </row>
    <row r="166" spans="1:13">
      <c r="A166" s="9" t="s">
        <v>2112</v>
      </c>
      <c r="B166" s="9" t="s">
        <v>300</v>
      </c>
      <c r="C166" s="9" t="s">
        <v>222</v>
      </c>
      <c r="D166" s="4" t="s">
        <v>2113</v>
      </c>
      <c r="E166" s="14" t="s">
        <v>2113</v>
      </c>
      <c r="F166" s="14" t="e">
        <v>#N/A</v>
      </c>
      <c r="G166" s="14" t="s">
        <v>2112</v>
      </c>
      <c r="H166" s="9" t="s">
        <v>2111</v>
      </c>
      <c r="I166" s="3">
        <v>0</v>
      </c>
      <c r="J166" s="3">
        <v>0</v>
      </c>
      <c r="K166" s="3">
        <f t="shared" si="6"/>
        <v>0</v>
      </c>
      <c r="L166" s="3">
        <f>IFERROR(INDEX('CHIRP Payment Calc'!K:K,MATCH(A:A,'CHIRP Payment Calc'!A:A,0)),0)</f>
        <v>0</v>
      </c>
      <c r="M166" s="3">
        <f t="shared" si="7"/>
        <v>0</v>
      </c>
    </row>
    <row r="167" spans="1:13">
      <c r="A167" s="9" t="s">
        <v>258</v>
      </c>
      <c r="B167" s="9" t="s">
        <v>300</v>
      </c>
      <c r="C167" s="9" t="s">
        <v>222</v>
      </c>
      <c r="D167" s="4" t="s">
        <v>259</v>
      </c>
      <c r="E167" s="14" t="s">
        <v>259</v>
      </c>
      <c r="F167" s="14" t="s">
        <v>260</v>
      </c>
      <c r="G167" s="14" t="s">
        <v>258</v>
      </c>
      <c r="H167" s="9" t="s">
        <v>2110</v>
      </c>
      <c r="I167" s="3">
        <v>1018140.0908645066</v>
      </c>
      <c r="J167" s="3">
        <v>0</v>
      </c>
      <c r="K167" s="3">
        <f t="shared" si="6"/>
        <v>1018140.0908645066</v>
      </c>
      <c r="L167" s="3">
        <f>IFERROR(INDEX('CHIRP Payment Calc'!K:K,MATCH(A:A,'CHIRP Payment Calc'!A:A,0)),0)</f>
        <v>2419605.1102636075</v>
      </c>
      <c r="M167" s="3">
        <f t="shared" si="7"/>
        <v>-1401465.0193991009</v>
      </c>
    </row>
    <row r="168" spans="1:13">
      <c r="A168" s="9" t="s">
        <v>1041</v>
      </c>
      <c r="B168" s="9" t="s">
        <v>300</v>
      </c>
      <c r="C168" s="9" t="s">
        <v>222</v>
      </c>
      <c r="D168" s="4" t="s">
        <v>1042</v>
      </c>
      <c r="E168" s="14" t="s">
        <v>1042</v>
      </c>
      <c r="F168" s="14" t="s">
        <v>1043</v>
      </c>
      <c r="G168" s="14" t="s">
        <v>1041</v>
      </c>
      <c r="H168" s="9" t="s">
        <v>1043</v>
      </c>
      <c r="I168" s="3">
        <v>3608329.376411892</v>
      </c>
      <c r="J168" s="3">
        <v>21844527.025333319</v>
      </c>
      <c r="K168" s="3">
        <f t="shared" si="6"/>
        <v>25452856.401745211</v>
      </c>
      <c r="L168" s="3">
        <f>IFERROR(INDEX('CHIRP Payment Calc'!K:K,MATCH(A:A,'CHIRP Payment Calc'!A:A,0)),0)</f>
        <v>28823811.15929294</v>
      </c>
      <c r="M168" s="3">
        <f t="shared" si="7"/>
        <v>-3370954.7575477287</v>
      </c>
    </row>
    <row r="169" spans="1:13">
      <c r="A169" s="9" t="e">
        <v>#N/A</v>
      </c>
      <c r="B169" s="9" t="s">
        <v>300</v>
      </c>
      <c r="C169" s="9" t="s">
        <v>222</v>
      </c>
      <c r="D169" s="4" t="s">
        <v>2109</v>
      </c>
      <c r="E169" s="14" t="e">
        <v>#N/A</v>
      </c>
      <c r="F169" s="14" t="e">
        <v>#N/A</v>
      </c>
      <c r="G169" s="14" t="e">
        <v>#N/A</v>
      </c>
      <c r="H169" s="9" t="s">
        <v>2108</v>
      </c>
      <c r="I169" s="3">
        <v>0</v>
      </c>
      <c r="J169" s="3">
        <v>0</v>
      </c>
      <c r="K169" s="3">
        <f t="shared" si="6"/>
        <v>0</v>
      </c>
      <c r="L169" s="3">
        <f>IFERROR(INDEX('CHIRP Payment Calc'!K:K,MATCH(A:A,'CHIRP Payment Calc'!A:A,0)),0)</f>
        <v>0</v>
      </c>
      <c r="M169" s="3">
        <f t="shared" si="7"/>
        <v>0</v>
      </c>
    </row>
    <row r="170" spans="1:13">
      <c r="A170" s="9" t="s">
        <v>416</v>
      </c>
      <c r="B170" s="9" t="s">
        <v>300</v>
      </c>
      <c r="C170" s="9" t="s">
        <v>222</v>
      </c>
      <c r="D170" s="4" t="s">
        <v>417</v>
      </c>
      <c r="E170" s="14" t="s">
        <v>417</v>
      </c>
      <c r="F170" s="14" t="s">
        <v>418</v>
      </c>
      <c r="G170" s="14" t="s">
        <v>416</v>
      </c>
      <c r="H170" s="9" t="s">
        <v>2107</v>
      </c>
      <c r="I170" s="3">
        <v>80429.763666891493</v>
      </c>
      <c r="J170" s="3">
        <v>98002.058304221297</v>
      </c>
      <c r="K170" s="3">
        <f t="shared" si="6"/>
        <v>178431.8219711128</v>
      </c>
      <c r="L170" s="3">
        <f>IFERROR(INDEX('CHIRP Payment Calc'!K:K,MATCH(A:A,'CHIRP Payment Calc'!A:A,0)),0)</f>
        <v>294774.90226364625</v>
      </c>
      <c r="M170" s="3">
        <f t="shared" si="7"/>
        <v>-116343.08029253344</v>
      </c>
    </row>
    <row r="171" spans="1:13">
      <c r="A171" s="9" t="s">
        <v>1456</v>
      </c>
      <c r="B171" s="9" t="s">
        <v>300</v>
      </c>
      <c r="C171" s="9" t="s">
        <v>222</v>
      </c>
      <c r="D171" s="4" t="s">
        <v>1457</v>
      </c>
      <c r="E171" s="14" t="s">
        <v>1457</v>
      </c>
      <c r="F171" s="14" t="s">
        <v>1458</v>
      </c>
      <c r="G171" s="14" t="s">
        <v>1456</v>
      </c>
      <c r="H171" s="9" t="s">
        <v>2106</v>
      </c>
      <c r="I171" s="3">
        <v>0</v>
      </c>
      <c r="J171" s="3">
        <v>0</v>
      </c>
      <c r="K171" s="3">
        <f t="shared" si="6"/>
        <v>0</v>
      </c>
      <c r="L171" s="3">
        <f>IFERROR(INDEX('CHIRP Payment Calc'!K:K,MATCH(A:A,'CHIRP Payment Calc'!A:A,0)),0)</f>
        <v>0</v>
      </c>
      <c r="M171" s="3">
        <f t="shared" si="7"/>
        <v>0</v>
      </c>
    </row>
    <row r="172" spans="1:13">
      <c r="A172" s="9" t="s">
        <v>584</v>
      </c>
      <c r="B172" s="9" t="s">
        <v>300</v>
      </c>
      <c r="C172" s="9" t="s">
        <v>222</v>
      </c>
      <c r="D172" s="4" t="s">
        <v>2105</v>
      </c>
      <c r="E172" s="14" t="s">
        <v>585</v>
      </c>
      <c r="F172" s="14" t="s">
        <v>586</v>
      </c>
      <c r="G172" s="14" t="s">
        <v>584</v>
      </c>
      <c r="H172" s="9" t="s">
        <v>2104</v>
      </c>
      <c r="I172" s="3">
        <v>0</v>
      </c>
      <c r="J172" s="3">
        <v>0</v>
      </c>
      <c r="K172" s="3">
        <f t="shared" si="6"/>
        <v>0</v>
      </c>
      <c r="L172" s="3">
        <f>IFERROR(INDEX('CHIRP Payment Calc'!K:K,MATCH(A:A,'CHIRP Payment Calc'!A:A,0)),0)</f>
        <v>0</v>
      </c>
      <c r="M172" s="3">
        <f t="shared" si="7"/>
        <v>0</v>
      </c>
    </row>
    <row r="173" spans="1:13">
      <c r="A173" s="9" t="s">
        <v>569</v>
      </c>
      <c r="B173" s="9" t="s">
        <v>300</v>
      </c>
      <c r="C173" s="9" t="s">
        <v>222</v>
      </c>
      <c r="D173" s="4" t="s">
        <v>570</v>
      </c>
      <c r="E173" s="14" t="s">
        <v>570</v>
      </c>
      <c r="F173" s="14" t="s">
        <v>571</v>
      </c>
      <c r="G173" s="14" t="s">
        <v>569</v>
      </c>
      <c r="H173" s="9" t="s">
        <v>2103</v>
      </c>
      <c r="I173" s="3">
        <v>8456218.6585107446</v>
      </c>
      <c r="J173" s="3">
        <v>5278804.0326463841</v>
      </c>
      <c r="K173" s="3">
        <f t="shared" si="6"/>
        <v>13735022.691157129</v>
      </c>
      <c r="L173" s="3">
        <f>IFERROR(INDEX('CHIRP Payment Calc'!K:K,MATCH(A:A,'CHIRP Payment Calc'!A:A,0)),0)</f>
        <v>20870373.285236172</v>
      </c>
      <c r="M173" s="3">
        <f t="shared" si="7"/>
        <v>-7135350.5940790437</v>
      </c>
    </row>
    <row r="174" spans="1:13">
      <c r="A174" s="9" t="s">
        <v>1434</v>
      </c>
      <c r="B174" s="9" t="s">
        <v>300</v>
      </c>
      <c r="C174" s="9" t="s">
        <v>222</v>
      </c>
      <c r="D174" s="4" t="s">
        <v>1435</v>
      </c>
      <c r="E174" s="14" t="s">
        <v>1435</v>
      </c>
      <c r="F174" s="14" t="s">
        <v>1436</v>
      </c>
      <c r="G174" s="14" t="s">
        <v>1434</v>
      </c>
      <c r="H174" s="9" t="s">
        <v>2102</v>
      </c>
      <c r="I174" s="3">
        <v>0</v>
      </c>
      <c r="J174" s="3">
        <v>0</v>
      </c>
      <c r="K174" s="3">
        <f t="shared" si="6"/>
        <v>0</v>
      </c>
      <c r="L174" s="3">
        <f>IFERROR(INDEX('CHIRP Payment Calc'!K:K,MATCH(A:A,'CHIRP Payment Calc'!A:A,0)),0)</f>
        <v>0</v>
      </c>
      <c r="M174" s="3">
        <f t="shared" si="7"/>
        <v>0</v>
      </c>
    </row>
    <row r="175" spans="1:13">
      <c r="A175" s="9" t="s">
        <v>450</v>
      </c>
      <c r="B175" s="9" t="s">
        <v>300</v>
      </c>
      <c r="C175" s="9" t="s">
        <v>222</v>
      </c>
      <c r="D175" s="4" t="s">
        <v>451</v>
      </c>
      <c r="E175" s="14" t="s">
        <v>451</v>
      </c>
      <c r="F175" s="14" t="s">
        <v>452</v>
      </c>
      <c r="G175" s="14" t="s">
        <v>450</v>
      </c>
      <c r="H175" s="9" t="s">
        <v>2101</v>
      </c>
      <c r="I175" s="3">
        <v>0</v>
      </c>
      <c r="J175" s="3">
        <v>0</v>
      </c>
      <c r="K175" s="3">
        <f t="shared" si="6"/>
        <v>0</v>
      </c>
      <c r="L175" s="3">
        <f>IFERROR(INDEX('CHIRP Payment Calc'!K:K,MATCH(A:A,'CHIRP Payment Calc'!A:A,0)),0)</f>
        <v>0</v>
      </c>
      <c r="M175" s="3">
        <f t="shared" si="7"/>
        <v>0</v>
      </c>
    </row>
    <row r="176" spans="1:13">
      <c r="A176" s="9" t="s">
        <v>2322</v>
      </c>
      <c r="B176" s="9" t="s">
        <v>300</v>
      </c>
      <c r="C176" s="9" t="s">
        <v>222</v>
      </c>
      <c r="D176" s="4" t="s">
        <v>1480</v>
      </c>
      <c r="E176" s="14" t="s">
        <v>2322</v>
      </c>
      <c r="F176" s="14" t="e">
        <v>#N/A</v>
      </c>
      <c r="G176" s="14" t="s">
        <v>2322</v>
      </c>
      <c r="H176" s="9" t="s">
        <v>2100</v>
      </c>
      <c r="I176" s="3">
        <v>0</v>
      </c>
      <c r="J176" s="3">
        <v>0</v>
      </c>
      <c r="K176" s="3">
        <f t="shared" si="6"/>
        <v>0</v>
      </c>
      <c r="L176" s="3">
        <f>IFERROR(INDEX('CHIRP Payment Calc'!K:K,MATCH(A:A,'CHIRP Payment Calc'!A:A,0)),0)</f>
        <v>0</v>
      </c>
      <c r="M176" s="3">
        <f t="shared" si="7"/>
        <v>0</v>
      </c>
    </row>
    <row r="177" spans="1:13">
      <c r="A177" s="9" t="s">
        <v>246</v>
      </c>
      <c r="B177" s="9" t="s">
        <v>300</v>
      </c>
      <c r="C177" s="9" t="s">
        <v>222</v>
      </c>
      <c r="D177" s="4" t="s">
        <v>247</v>
      </c>
      <c r="E177" s="14" t="s">
        <v>247</v>
      </c>
      <c r="F177" s="14" t="s">
        <v>248</v>
      </c>
      <c r="G177" s="14" t="s">
        <v>246</v>
      </c>
      <c r="H177" s="9" t="s">
        <v>2099</v>
      </c>
      <c r="I177" s="3">
        <v>6284313.8291833531</v>
      </c>
      <c r="J177" s="3">
        <v>1662749.8439773736</v>
      </c>
      <c r="K177" s="3">
        <f t="shared" si="6"/>
        <v>7947063.6731607262</v>
      </c>
      <c r="L177" s="3">
        <f>IFERROR(INDEX('CHIRP Payment Calc'!K:K,MATCH(A:A,'CHIRP Payment Calc'!A:A,0)),0)</f>
        <v>13077096.03644596</v>
      </c>
      <c r="M177" s="3">
        <f t="shared" si="7"/>
        <v>-5130032.3632852342</v>
      </c>
    </row>
    <row r="178" spans="1:13">
      <c r="A178" s="9" t="s">
        <v>243</v>
      </c>
      <c r="B178" s="9" t="s">
        <v>300</v>
      </c>
      <c r="C178" s="9" t="s">
        <v>222</v>
      </c>
      <c r="D178" s="4" t="s">
        <v>244</v>
      </c>
      <c r="E178" s="14" t="s">
        <v>244</v>
      </c>
      <c r="F178" s="14" t="s">
        <v>245</v>
      </c>
      <c r="G178" s="14" t="s">
        <v>243</v>
      </c>
      <c r="H178" s="9" t="s">
        <v>2098</v>
      </c>
      <c r="I178" s="3">
        <v>7380227.9542904384</v>
      </c>
      <c r="J178" s="3">
        <v>5091909.9670989579</v>
      </c>
      <c r="K178" s="3">
        <f t="shared" si="6"/>
        <v>12472137.921389397</v>
      </c>
      <c r="L178" s="3">
        <f>IFERROR(INDEX('CHIRP Payment Calc'!K:K,MATCH(A:A,'CHIRP Payment Calc'!A:A,0)),0)</f>
        <v>18939709.64256762</v>
      </c>
      <c r="M178" s="3">
        <f t="shared" si="7"/>
        <v>-6467571.7211782224</v>
      </c>
    </row>
    <row r="179" spans="1:13">
      <c r="A179" s="9" t="s">
        <v>180</v>
      </c>
      <c r="B179" s="9" t="s">
        <v>300</v>
      </c>
      <c r="C179" s="9" t="s">
        <v>222</v>
      </c>
      <c r="D179" s="4" t="s">
        <v>181</v>
      </c>
      <c r="E179" s="14" t="s">
        <v>181</v>
      </c>
      <c r="F179" s="14" t="s">
        <v>182</v>
      </c>
      <c r="G179" s="14" t="s">
        <v>180</v>
      </c>
      <c r="H179" s="9" t="s">
        <v>2097</v>
      </c>
      <c r="I179" s="3">
        <v>0</v>
      </c>
      <c r="J179" s="3">
        <v>0</v>
      </c>
      <c r="K179" s="3">
        <f t="shared" si="6"/>
        <v>0</v>
      </c>
      <c r="L179" s="3">
        <f>IFERROR(INDEX('CHIRP Payment Calc'!K:K,MATCH(A:A,'CHIRP Payment Calc'!A:A,0)),0)</f>
        <v>0</v>
      </c>
      <c r="M179" s="3">
        <f t="shared" si="7"/>
        <v>0</v>
      </c>
    </row>
    <row r="180" spans="1:13">
      <c r="A180" s="9" t="s">
        <v>249</v>
      </c>
      <c r="B180" s="9" t="s">
        <v>300</v>
      </c>
      <c r="C180" s="9" t="s">
        <v>222</v>
      </c>
      <c r="D180" s="4" t="s">
        <v>250</v>
      </c>
      <c r="E180" s="14" t="s">
        <v>250</v>
      </c>
      <c r="F180" s="14" t="s">
        <v>251</v>
      </c>
      <c r="G180" s="14" t="s">
        <v>249</v>
      </c>
      <c r="H180" s="9" t="s">
        <v>1661</v>
      </c>
      <c r="I180" s="3">
        <v>55847.088485461471</v>
      </c>
      <c r="J180" s="3">
        <v>32489.187477707845</v>
      </c>
      <c r="K180" s="3">
        <f t="shared" si="6"/>
        <v>88336.275963169319</v>
      </c>
      <c r="L180" s="3">
        <f>IFERROR(INDEX('CHIRP Payment Calc'!K:K,MATCH(A:A,'CHIRP Payment Calc'!A:A,0)),0)</f>
        <v>0</v>
      </c>
      <c r="M180" s="3">
        <f t="shared" si="7"/>
        <v>88336.275963169319</v>
      </c>
    </row>
    <row r="181" spans="1:13">
      <c r="A181" s="9" t="s">
        <v>1453</v>
      </c>
      <c r="B181" s="9" t="s">
        <v>300</v>
      </c>
      <c r="C181" s="9" t="s">
        <v>222</v>
      </c>
      <c r="D181" s="4" t="s">
        <v>1454</v>
      </c>
      <c r="E181" s="14" t="s">
        <v>1454</v>
      </c>
      <c r="F181" s="14" t="s">
        <v>1455</v>
      </c>
      <c r="G181" s="14" t="s">
        <v>1453</v>
      </c>
      <c r="H181" s="9" t="s">
        <v>2096</v>
      </c>
      <c r="I181" s="3">
        <v>0</v>
      </c>
      <c r="J181" s="3">
        <v>0</v>
      </c>
      <c r="K181" s="3">
        <f t="shared" si="6"/>
        <v>0</v>
      </c>
      <c r="L181" s="3">
        <f>IFERROR(INDEX('CHIRP Payment Calc'!K:K,MATCH(A:A,'CHIRP Payment Calc'!A:A,0)),0)</f>
        <v>0</v>
      </c>
      <c r="M181" s="3">
        <f t="shared" si="7"/>
        <v>0</v>
      </c>
    </row>
    <row r="182" spans="1:13">
      <c r="A182" s="9" t="s">
        <v>19</v>
      </c>
      <c r="B182" s="9" t="s">
        <v>300</v>
      </c>
      <c r="C182" s="9" t="s">
        <v>222</v>
      </c>
      <c r="D182" s="4" t="s">
        <v>20</v>
      </c>
      <c r="E182" s="14" t="s">
        <v>20</v>
      </c>
      <c r="F182" s="14" t="s">
        <v>21</v>
      </c>
      <c r="G182" s="14" t="s">
        <v>19</v>
      </c>
      <c r="H182" s="9" t="s">
        <v>2095</v>
      </c>
      <c r="I182" s="3">
        <v>0</v>
      </c>
      <c r="J182" s="3">
        <v>0</v>
      </c>
      <c r="K182" s="3">
        <f t="shared" si="6"/>
        <v>0</v>
      </c>
      <c r="L182" s="3">
        <f>IFERROR(INDEX('CHIRP Payment Calc'!K:K,MATCH(A:A,'CHIRP Payment Calc'!A:A,0)),0)</f>
        <v>0</v>
      </c>
      <c r="M182" s="3">
        <f t="shared" si="7"/>
        <v>0</v>
      </c>
    </row>
    <row r="183" spans="1:13">
      <c r="A183" s="9" t="s">
        <v>419</v>
      </c>
      <c r="B183" s="9" t="s">
        <v>300</v>
      </c>
      <c r="C183" s="9" t="s">
        <v>222</v>
      </c>
      <c r="D183" s="4" t="s">
        <v>420</v>
      </c>
      <c r="E183" s="14" t="s">
        <v>420</v>
      </c>
      <c r="F183" s="14" t="s">
        <v>421</v>
      </c>
      <c r="G183" s="14" t="s">
        <v>419</v>
      </c>
      <c r="H183" s="9" t="s">
        <v>2094</v>
      </c>
      <c r="I183" s="3">
        <v>79941.515916383796</v>
      </c>
      <c r="J183" s="3">
        <v>735403.05346669175</v>
      </c>
      <c r="K183" s="3">
        <f t="shared" si="6"/>
        <v>815344.56938307558</v>
      </c>
      <c r="L183" s="3">
        <f>IFERROR(INDEX('CHIRP Payment Calc'!K:K,MATCH(A:A,'CHIRP Payment Calc'!A:A,0)),0)</f>
        <v>987930.18169618724</v>
      </c>
      <c r="M183" s="3">
        <f t="shared" si="7"/>
        <v>-172585.61231311166</v>
      </c>
    </row>
    <row r="184" spans="1:13">
      <c r="A184" s="9" t="s">
        <v>1521</v>
      </c>
      <c r="B184" s="9" t="s">
        <v>300</v>
      </c>
      <c r="C184" s="9" t="s">
        <v>222</v>
      </c>
      <c r="D184" s="4" t="s">
        <v>1522</v>
      </c>
      <c r="E184" s="14" t="s">
        <v>1522</v>
      </c>
      <c r="F184" s="14" t="s">
        <v>1523</v>
      </c>
      <c r="G184" s="14" t="s">
        <v>1521</v>
      </c>
      <c r="H184" s="9" t="s">
        <v>2093</v>
      </c>
      <c r="I184" s="3">
        <v>0</v>
      </c>
      <c r="J184" s="3">
        <v>0</v>
      </c>
      <c r="K184" s="3">
        <f t="shared" si="6"/>
        <v>0</v>
      </c>
      <c r="L184" s="3">
        <f>IFERROR(INDEX('CHIRP Payment Calc'!K:K,MATCH(A:A,'CHIRP Payment Calc'!A:A,0)),0)</f>
        <v>0</v>
      </c>
      <c r="M184" s="3">
        <f t="shared" si="7"/>
        <v>0</v>
      </c>
    </row>
    <row r="185" spans="1:13">
      <c r="A185" s="9" t="s">
        <v>1196</v>
      </c>
      <c r="B185" s="9" t="s">
        <v>300</v>
      </c>
      <c r="C185" s="9" t="s">
        <v>222</v>
      </c>
      <c r="D185" s="4" t="s">
        <v>1197</v>
      </c>
      <c r="E185" s="14" t="s">
        <v>1197</v>
      </c>
      <c r="F185" s="14" t="s">
        <v>1198</v>
      </c>
      <c r="G185" s="14" t="s">
        <v>1196</v>
      </c>
      <c r="H185" s="9" t="s">
        <v>2092</v>
      </c>
      <c r="I185" s="3">
        <v>0</v>
      </c>
      <c r="J185" s="3">
        <v>0</v>
      </c>
      <c r="K185" s="3">
        <f t="shared" si="6"/>
        <v>0</v>
      </c>
      <c r="L185" s="3">
        <f>IFERROR(INDEX('CHIRP Payment Calc'!K:K,MATCH(A:A,'CHIRP Payment Calc'!A:A,0)),0)</f>
        <v>0</v>
      </c>
      <c r="M185" s="3">
        <f t="shared" si="7"/>
        <v>0</v>
      </c>
    </row>
    <row r="186" spans="1:13">
      <c r="A186" s="9" t="s">
        <v>1632</v>
      </c>
      <c r="B186" s="9" t="s">
        <v>300</v>
      </c>
      <c r="C186" s="9" t="s">
        <v>222</v>
      </c>
      <c r="D186" s="4" t="s">
        <v>1633</v>
      </c>
      <c r="E186" s="14" t="s">
        <v>1633</v>
      </c>
      <c r="F186" s="14" t="s">
        <v>1759</v>
      </c>
      <c r="G186" s="14" t="s">
        <v>1632</v>
      </c>
      <c r="H186" s="9" t="s">
        <v>1631</v>
      </c>
      <c r="I186" s="3">
        <v>0</v>
      </c>
      <c r="J186" s="3">
        <v>12194.372119659969</v>
      </c>
      <c r="K186" s="3">
        <f t="shared" si="6"/>
        <v>12194.372119659969</v>
      </c>
      <c r="L186" s="3">
        <f>IFERROR(INDEX('CHIRP Payment Calc'!K:K,MATCH(A:A,'CHIRP Payment Calc'!A:A,0)),0)</f>
        <v>0</v>
      </c>
      <c r="M186" s="3">
        <f t="shared" si="7"/>
        <v>12194.372119659969</v>
      </c>
    </row>
    <row r="187" spans="1:13">
      <c r="A187" s="9" t="s">
        <v>1428</v>
      </c>
      <c r="B187" s="9" t="s">
        <v>300</v>
      </c>
      <c r="C187" s="9" t="s">
        <v>222</v>
      </c>
      <c r="D187" s="4" t="s">
        <v>1429</v>
      </c>
      <c r="E187" s="14" t="s">
        <v>1429</v>
      </c>
      <c r="F187" s="14" t="s">
        <v>1430</v>
      </c>
      <c r="G187" s="14" t="s">
        <v>1428</v>
      </c>
      <c r="H187" s="9" t="s">
        <v>1430</v>
      </c>
      <c r="I187" s="3">
        <v>0</v>
      </c>
      <c r="J187" s="3">
        <v>0</v>
      </c>
      <c r="K187" s="3">
        <f t="shared" si="6"/>
        <v>0</v>
      </c>
      <c r="L187" s="3">
        <f>IFERROR(INDEX('CHIRP Payment Calc'!K:K,MATCH(A:A,'CHIRP Payment Calc'!A:A,0)),0)</f>
        <v>0</v>
      </c>
      <c r="M187" s="3">
        <f t="shared" si="7"/>
        <v>0</v>
      </c>
    </row>
    <row r="188" spans="1:13">
      <c r="A188" s="9" t="s">
        <v>273</v>
      </c>
      <c r="B188" s="9" t="s">
        <v>300</v>
      </c>
      <c r="C188" s="9" t="s">
        <v>222</v>
      </c>
      <c r="D188" s="4" t="s">
        <v>274</v>
      </c>
      <c r="E188" s="14" t="s">
        <v>274</v>
      </c>
      <c r="F188" s="14" t="s">
        <v>275</v>
      </c>
      <c r="G188" s="14" t="s">
        <v>273</v>
      </c>
      <c r="H188" s="9" t="s">
        <v>2091</v>
      </c>
      <c r="I188" s="3">
        <v>3691726.4067103602</v>
      </c>
      <c r="J188" s="3">
        <v>0</v>
      </c>
      <c r="K188" s="3">
        <f t="shared" si="6"/>
        <v>3691726.4067103602</v>
      </c>
      <c r="L188" s="3">
        <f>IFERROR(INDEX('CHIRP Payment Calc'!K:K,MATCH(A:A,'CHIRP Payment Calc'!A:A,0)),0)</f>
        <v>3573938.8320790017</v>
      </c>
      <c r="M188" s="3">
        <f t="shared" si="7"/>
        <v>117787.5746313585</v>
      </c>
    </row>
    <row r="189" spans="1:13">
      <c r="A189" s="9" t="s">
        <v>1450</v>
      </c>
      <c r="B189" s="9" t="s">
        <v>300</v>
      </c>
      <c r="C189" s="9" t="s">
        <v>222</v>
      </c>
      <c r="D189" s="4" t="s">
        <v>1451</v>
      </c>
      <c r="E189" s="14" t="s">
        <v>1451</v>
      </c>
      <c r="F189" s="14" t="s">
        <v>1452</v>
      </c>
      <c r="G189" s="14" t="s">
        <v>1450</v>
      </c>
      <c r="H189" s="9" t="s">
        <v>2090</v>
      </c>
      <c r="I189" s="3">
        <v>0</v>
      </c>
      <c r="J189" s="3">
        <v>0</v>
      </c>
      <c r="K189" s="3">
        <f t="shared" si="6"/>
        <v>0</v>
      </c>
      <c r="L189" s="3">
        <f>IFERROR(INDEX('CHIRP Payment Calc'!K:K,MATCH(A:A,'CHIRP Payment Calc'!A:A,0)),0)</f>
        <v>0</v>
      </c>
      <c r="M189" s="3">
        <f t="shared" si="7"/>
        <v>0</v>
      </c>
    </row>
    <row r="190" spans="1:13">
      <c r="A190" s="9" t="s">
        <v>1580</v>
      </c>
      <c r="B190" s="9" t="s">
        <v>300</v>
      </c>
      <c r="C190" s="9" t="s">
        <v>222</v>
      </c>
      <c r="D190" s="4" t="s">
        <v>1581</v>
      </c>
      <c r="E190" s="14" t="s">
        <v>1581</v>
      </c>
      <c r="F190" s="14" t="s">
        <v>1737</v>
      </c>
      <c r="G190" s="14" t="s">
        <v>1580</v>
      </c>
      <c r="H190" s="9" t="s">
        <v>2089</v>
      </c>
      <c r="I190" s="3">
        <v>0</v>
      </c>
      <c r="J190" s="3">
        <v>0</v>
      </c>
      <c r="K190" s="3">
        <f t="shared" si="6"/>
        <v>0</v>
      </c>
      <c r="L190" s="3">
        <f>IFERROR(INDEX('CHIRP Payment Calc'!K:K,MATCH(A:A,'CHIRP Payment Calc'!A:A,0)),0)</f>
        <v>0</v>
      </c>
      <c r="M190" s="3">
        <f t="shared" si="7"/>
        <v>0</v>
      </c>
    </row>
    <row r="191" spans="1:13">
      <c r="A191" s="9" t="s">
        <v>1137</v>
      </c>
      <c r="B191" s="9" t="s">
        <v>300</v>
      </c>
      <c r="C191" s="9" t="s">
        <v>222</v>
      </c>
      <c r="D191" s="4" t="s">
        <v>1138</v>
      </c>
      <c r="E191" s="14" t="s">
        <v>1138</v>
      </c>
      <c r="F191" s="14" t="s">
        <v>1139</v>
      </c>
      <c r="G191" s="14" t="s">
        <v>1137</v>
      </c>
      <c r="H191" s="9" t="s">
        <v>1592</v>
      </c>
      <c r="I191" s="3">
        <v>4544092.715698286</v>
      </c>
      <c r="J191" s="3">
        <v>5080603.7263867399</v>
      </c>
      <c r="K191" s="3">
        <f t="shared" si="6"/>
        <v>9624696.4420850258</v>
      </c>
      <c r="L191" s="3">
        <f>IFERROR(INDEX('CHIRP Payment Calc'!K:K,MATCH(A:A,'CHIRP Payment Calc'!A:A,0)),0)</f>
        <v>20016527.222974025</v>
      </c>
      <c r="M191" s="3">
        <f t="shared" si="7"/>
        <v>-10391830.780888999</v>
      </c>
    </row>
    <row r="192" spans="1:13">
      <c r="A192" s="9" t="s">
        <v>566</v>
      </c>
      <c r="B192" s="9" t="s">
        <v>300</v>
      </c>
      <c r="C192" s="9" t="s">
        <v>222</v>
      </c>
      <c r="D192" s="4" t="s">
        <v>567</v>
      </c>
      <c r="E192" s="14" t="s">
        <v>567</v>
      </c>
      <c r="F192" s="14" t="s">
        <v>568</v>
      </c>
      <c r="G192" s="14" t="s">
        <v>566</v>
      </c>
      <c r="H192" s="9" t="s">
        <v>2088</v>
      </c>
      <c r="I192" s="3">
        <v>623150.82964537328</v>
      </c>
      <c r="J192" s="3">
        <v>1535670.7592339341</v>
      </c>
      <c r="K192" s="3">
        <f t="shared" si="6"/>
        <v>2158821.5888793073</v>
      </c>
      <c r="L192" s="3">
        <f>IFERROR(INDEX('CHIRP Payment Calc'!K:K,MATCH(A:A,'CHIRP Payment Calc'!A:A,0)),0)</f>
        <v>2697763.7295899764</v>
      </c>
      <c r="M192" s="3">
        <f t="shared" si="7"/>
        <v>-538942.1407106691</v>
      </c>
    </row>
    <row r="193" spans="1:13">
      <c r="A193" s="9" t="s">
        <v>447</v>
      </c>
      <c r="B193" s="9" t="s">
        <v>300</v>
      </c>
      <c r="C193" s="9" t="s">
        <v>222</v>
      </c>
      <c r="D193" s="4" t="s">
        <v>448</v>
      </c>
      <c r="E193" s="14" t="s">
        <v>448</v>
      </c>
      <c r="F193" s="14" t="s">
        <v>449</v>
      </c>
      <c r="G193" s="14" t="s">
        <v>447</v>
      </c>
      <c r="H193" s="9" t="s">
        <v>2087</v>
      </c>
      <c r="I193" s="3">
        <v>0</v>
      </c>
      <c r="J193" s="3">
        <v>0</v>
      </c>
      <c r="K193" s="3">
        <f t="shared" si="6"/>
        <v>0</v>
      </c>
      <c r="L193" s="3">
        <f>IFERROR(INDEX('CHIRP Payment Calc'!K:K,MATCH(A:A,'CHIRP Payment Calc'!A:A,0)),0)</f>
        <v>0</v>
      </c>
      <c r="M193" s="3">
        <f t="shared" si="7"/>
        <v>0</v>
      </c>
    </row>
    <row r="194" spans="1:13">
      <c r="A194" s="9" t="e">
        <v>#N/A</v>
      </c>
      <c r="B194" s="9" t="s">
        <v>300</v>
      </c>
      <c r="C194" s="9" t="s">
        <v>222</v>
      </c>
      <c r="D194" s="4" t="s">
        <v>2086</v>
      </c>
      <c r="E194" s="14" t="e">
        <v>#N/A</v>
      </c>
      <c r="F194" s="14" t="e">
        <v>#N/A</v>
      </c>
      <c r="G194" s="14" t="e">
        <v>#N/A</v>
      </c>
      <c r="H194" s="9" t="s">
        <v>2085</v>
      </c>
      <c r="I194" s="3">
        <v>0</v>
      </c>
      <c r="J194" s="3">
        <v>0</v>
      </c>
      <c r="K194" s="3">
        <f t="shared" si="6"/>
        <v>0</v>
      </c>
      <c r="L194" s="3">
        <f>IFERROR(INDEX('CHIRP Payment Calc'!K:K,MATCH(A:A,'CHIRP Payment Calc'!A:A,0)),0)</f>
        <v>0</v>
      </c>
      <c r="M194" s="3">
        <f t="shared" si="7"/>
        <v>0</v>
      </c>
    </row>
    <row r="195" spans="1:13">
      <c r="A195" s="9" t="s">
        <v>410</v>
      </c>
      <c r="B195" s="9" t="s">
        <v>300</v>
      </c>
      <c r="C195" s="9" t="s">
        <v>222</v>
      </c>
      <c r="D195" s="4" t="s">
        <v>411</v>
      </c>
      <c r="E195" s="14" t="s">
        <v>411</v>
      </c>
      <c r="F195" s="14" t="s">
        <v>412</v>
      </c>
      <c r="G195" s="14" t="s">
        <v>410</v>
      </c>
      <c r="H195" s="9" t="s">
        <v>2084</v>
      </c>
      <c r="I195" s="3">
        <v>1823544.5939564065</v>
      </c>
      <c r="J195" s="3">
        <v>1686029.722477576</v>
      </c>
      <c r="K195" s="3">
        <f t="shared" si="6"/>
        <v>3509574.3164339825</v>
      </c>
      <c r="L195" s="3">
        <f>IFERROR(INDEX('CHIRP Payment Calc'!K:K,MATCH(A:A,'CHIRP Payment Calc'!A:A,0)),0)</f>
        <v>5311446.0070415493</v>
      </c>
      <c r="M195" s="3">
        <f t="shared" si="7"/>
        <v>-1801871.6906075669</v>
      </c>
    </row>
    <row r="196" spans="1:13">
      <c r="A196" s="9" t="s">
        <v>4</v>
      </c>
      <c r="B196" s="9" t="s">
        <v>300</v>
      </c>
      <c r="C196" s="9" t="s">
        <v>222</v>
      </c>
      <c r="D196" s="4" t="s">
        <v>5</v>
      </c>
      <c r="E196" s="14" t="s">
        <v>5</v>
      </c>
      <c r="F196" s="14" t="s">
        <v>6</v>
      </c>
      <c r="G196" s="14" t="s">
        <v>4</v>
      </c>
      <c r="H196" s="9" t="s">
        <v>2083</v>
      </c>
      <c r="I196" s="3">
        <v>301454.26540954347</v>
      </c>
      <c r="J196" s="3">
        <v>313825.29377139919</v>
      </c>
      <c r="K196" s="3">
        <f t="shared" si="6"/>
        <v>615279.5591809426</v>
      </c>
      <c r="L196" s="3">
        <f>IFERROR(INDEX('CHIRP Payment Calc'!K:K,MATCH(A:A,'CHIRP Payment Calc'!A:A,0)),0)</f>
        <v>0</v>
      </c>
      <c r="M196" s="3">
        <f t="shared" si="7"/>
        <v>615279.5591809426</v>
      </c>
    </row>
    <row r="197" spans="1:13">
      <c r="A197" s="9" t="s">
        <v>1610</v>
      </c>
      <c r="B197" s="9" t="s">
        <v>300</v>
      </c>
      <c r="C197" s="9" t="s">
        <v>222</v>
      </c>
      <c r="D197" s="4" t="s">
        <v>1611</v>
      </c>
      <c r="E197" s="14" t="s">
        <v>1611</v>
      </c>
      <c r="F197" s="14" t="s">
        <v>1758</v>
      </c>
      <c r="G197" s="14" t="s">
        <v>1610</v>
      </c>
      <c r="H197" s="9" t="s">
        <v>1609</v>
      </c>
      <c r="I197" s="3">
        <v>2177808.5868345019</v>
      </c>
      <c r="J197" s="3">
        <v>992600.43264179688</v>
      </c>
      <c r="K197" s="3">
        <f t="shared" si="6"/>
        <v>3170409.0194762987</v>
      </c>
      <c r="L197" s="3">
        <f>IFERROR(INDEX('CHIRP Payment Calc'!K:K,MATCH(A:A,'CHIRP Payment Calc'!A:A,0)),0)</f>
        <v>5828704.8592945617</v>
      </c>
      <c r="M197" s="3">
        <f t="shared" si="7"/>
        <v>-2658295.839818263</v>
      </c>
    </row>
    <row r="198" spans="1:13">
      <c r="A198" s="9" t="s">
        <v>1662</v>
      </c>
      <c r="B198" s="9" t="s">
        <v>300</v>
      </c>
      <c r="C198" s="9" t="s">
        <v>222</v>
      </c>
      <c r="D198" s="4" t="s">
        <v>1663</v>
      </c>
      <c r="E198" s="14" t="s">
        <v>1663</v>
      </c>
      <c r="F198" s="14" t="s">
        <v>1757</v>
      </c>
      <c r="G198" s="14" t="s">
        <v>1662</v>
      </c>
      <c r="H198" s="9" t="s">
        <v>2082</v>
      </c>
      <c r="I198" s="3">
        <v>275327.49975058984</v>
      </c>
      <c r="J198" s="3">
        <v>913957.96672211902</v>
      </c>
      <c r="K198" s="3">
        <f t="shared" si="6"/>
        <v>1189285.4664727089</v>
      </c>
      <c r="L198" s="3">
        <f>IFERROR(INDEX('CHIRP Payment Calc'!K:K,MATCH(A:A,'CHIRP Payment Calc'!A:A,0)),0)</f>
        <v>1503901.8992182673</v>
      </c>
      <c r="M198" s="3">
        <f t="shared" si="7"/>
        <v>-314616.43274555844</v>
      </c>
    </row>
    <row r="199" spans="1:13">
      <c r="A199" s="9" t="s">
        <v>453</v>
      </c>
      <c r="B199" s="9" t="s">
        <v>300</v>
      </c>
      <c r="C199" s="9" t="s">
        <v>222</v>
      </c>
      <c r="D199" s="4" t="s">
        <v>454</v>
      </c>
      <c r="E199" s="14" t="s">
        <v>454</v>
      </c>
      <c r="F199" s="14" t="s">
        <v>455</v>
      </c>
      <c r="G199" s="14" t="s">
        <v>453</v>
      </c>
      <c r="H199" s="9" t="s">
        <v>2081</v>
      </c>
      <c r="I199" s="3">
        <v>0</v>
      </c>
      <c r="J199" s="3">
        <v>0</v>
      </c>
      <c r="K199" s="3">
        <f t="shared" si="6"/>
        <v>0</v>
      </c>
      <c r="L199" s="3">
        <f>IFERROR(INDEX('CHIRP Payment Calc'!K:K,MATCH(A:A,'CHIRP Payment Calc'!A:A,0)),0)</f>
        <v>0</v>
      </c>
      <c r="M199" s="3">
        <f t="shared" si="7"/>
        <v>0</v>
      </c>
    </row>
    <row r="200" spans="1:13">
      <c r="A200" s="9" t="s">
        <v>13</v>
      </c>
      <c r="B200" s="9" t="s">
        <v>300</v>
      </c>
      <c r="C200" s="9" t="s">
        <v>222</v>
      </c>
      <c r="D200" s="4" t="s">
        <v>14</v>
      </c>
      <c r="E200" s="14" t="s">
        <v>14</v>
      </c>
      <c r="F200" s="14" t="s">
        <v>15</v>
      </c>
      <c r="G200" s="14" t="s">
        <v>13</v>
      </c>
      <c r="H200" s="9" t="s">
        <v>2080</v>
      </c>
      <c r="I200" s="3">
        <v>42794802.438506342</v>
      </c>
      <c r="J200" s="3">
        <v>26283269.458489452</v>
      </c>
      <c r="K200" s="3">
        <f t="shared" ref="K200:K263" si="8">I200+J200</f>
        <v>69078071.896995798</v>
      </c>
      <c r="L200" s="3">
        <f>IFERROR(INDEX('CHIRP Payment Calc'!K:K,MATCH(A:A,'CHIRP Payment Calc'!A:A,0)),0)</f>
        <v>100189870.17109019</v>
      </c>
      <c r="M200" s="3">
        <f t="shared" ref="M200:M263" si="9">K200-L200</f>
        <v>-31111798.274094388</v>
      </c>
    </row>
    <row r="201" spans="1:13">
      <c r="A201" s="9" t="s">
        <v>838</v>
      </c>
      <c r="B201" s="9" t="s">
        <v>300</v>
      </c>
      <c r="C201" s="9" t="s">
        <v>222</v>
      </c>
      <c r="D201" s="4" t="s">
        <v>839</v>
      </c>
      <c r="E201" s="14" t="s">
        <v>839</v>
      </c>
      <c r="F201" s="14" t="s">
        <v>840</v>
      </c>
      <c r="G201" s="14" t="s">
        <v>838</v>
      </c>
      <c r="H201" s="9" t="s">
        <v>2079</v>
      </c>
      <c r="I201" s="3">
        <v>7639805.3792064143</v>
      </c>
      <c r="J201" s="3">
        <v>4301744.9953290019</v>
      </c>
      <c r="K201" s="3">
        <f t="shared" si="8"/>
        <v>11941550.374535415</v>
      </c>
      <c r="L201" s="3">
        <f>IFERROR(INDEX('CHIRP Payment Calc'!K:K,MATCH(A:A,'CHIRP Payment Calc'!A:A,0)),0)</f>
        <v>18434194.995047353</v>
      </c>
      <c r="M201" s="3">
        <f t="shared" si="9"/>
        <v>-6492644.6205119379</v>
      </c>
    </row>
    <row r="202" spans="1:13">
      <c r="A202" s="9" t="s">
        <v>759</v>
      </c>
      <c r="B202" s="9" t="s">
        <v>300</v>
      </c>
      <c r="C202" s="9" t="s">
        <v>222</v>
      </c>
      <c r="D202" s="4" t="s">
        <v>760</v>
      </c>
      <c r="E202" s="14" t="s">
        <v>760</v>
      </c>
      <c r="F202" s="14" t="s">
        <v>761</v>
      </c>
      <c r="G202" s="14" t="s">
        <v>759</v>
      </c>
      <c r="H202" s="9" t="s">
        <v>2078</v>
      </c>
      <c r="I202" s="3">
        <v>10272228.902350813</v>
      </c>
      <c r="J202" s="3">
        <v>6166784.6190993572</v>
      </c>
      <c r="K202" s="3">
        <f t="shared" si="8"/>
        <v>16439013.521450169</v>
      </c>
      <c r="L202" s="3">
        <f>IFERROR(INDEX('CHIRP Payment Calc'!K:K,MATCH(A:A,'CHIRP Payment Calc'!A:A,0)),0)</f>
        <v>23991926.055599499</v>
      </c>
      <c r="M202" s="3">
        <f t="shared" si="9"/>
        <v>-7552912.5341493301</v>
      </c>
    </row>
    <row r="203" spans="1:13">
      <c r="A203" s="9" t="s">
        <v>771</v>
      </c>
      <c r="B203" s="9" t="s">
        <v>300</v>
      </c>
      <c r="C203" s="9" t="s">
        <v>222</v>
      </c>
      <c r="D203" s="4" t="s">
        <v>772</v>
      </c>
      <c r="E203" s="14" t="s">
        <v>772</v>
      </c>
      <c r="F203" s="14" t="s">
        <v>773</v>
      </c>
      <c r="G203" s="14" t="s">
        <v>771</v>
      </c>
      <c r="H203" s="9" t="s">
        <v>2076</v>
      </c>
      <c r="I203" s="3">
        <v>13636372.151255779</v>
      </c>
      <c r="J203" s="3">
        <v>8719313.944277538</v>
      </c>
      <c r="K203" s="3">
        <f t="shared" si="8"/>
        <v>22355686.095533319</v>
      </c>
      <c r="L203" s="3">
        <f>IFERROR(INDEX('CHIRP Payment Calc'!K:K,MATCH(A:A,'CHIRP Payment Calc'!A:A,0)),0)</f>
        <v>34432081.298680022</v>
      </c>
      <c r="M203" s="3">
        <f t="shared" si="9"/>
        <v>-12076395.203146704</v>
      </c>
    </row>
    <row r="204" spans="1:13">
      <c r="A204" s="9" t="s">
        <v>140</v>
      </c>
      <c r="B204" s="9" t="s">
        <v>300</v>
      </c>
      <c r="C204" s="9" t="s">
        <v>222</v>
      </c>
      <c r="D204" s="4" t="s">
        <v>141</v>
      </c>
      <c r="E204" s="14" t="s">
        <v>141</v>
      </c>
      <c r="F204" s="14" t="s">
        <v>142</v>
      </c>
      <c r="G204" s="14" t="s">
        <v>140</v>
      </c>
      <c r="H204" s="9" t="s">
        <v>2075</v>
      </c>
      <c r="I204" s="3">
        <v>0</v>
      </c>
      <c r="J204" s="3">
        <v>0</v>
      </c>
      <c r="K204" s="3">
        <f t="shared" si="8"/>
        <v>0</v>
      </c>
      <c r="L204" s="3">
        <f>IFERROR(INDEX('CHIRP Payment Calc'!K:K,MATCH(A:A,'CHIRP Payment Calc'!A:A,0)),0)</f>
        <v>0</v>
      </c>
      <c r="M204" s="3">
        <f t="shared" si="9"/>
        <v>0</v>
      </c>
    </row>
    <row r="205" spans="1:13">
      <c r="A205" s="9" t="s">
        <v>1386</v>
      </c>
      <c r="B205" s="9" t="s">
        <v>300</v>
      </c>
      <c r="C205" s="9" t="s">
        <v>222</v>
      </c>
      <c r="D205" s="4" t="s">
        <v>1387</v>
      </c>
      <c r="E205" s="14" t="s">
        <v>1387</v>
      </c>
      <c r="F205" s="14" t="s">
        <v>1388</v>
      </c>
      <c r="G205" s="14" t="s">
        <v>1386</v>
      </c>
      <c r="H205" s="9" t="s">
        <v>2074</v>
      </c>
      <c r="I205" s="3">
        <v>0</v>
      </c>
      <c r="J205" s="3">
        <v>0</v>
      </c>
      <c r="K205" s="3">
        <f t="shared" si="8"/>
        <v>0</v>
      </c>
      <c r="L205" s="3">
        <f>IFERROR(INDEX('CHIRP Payment Calc'!K:K,MATCH(A:A,'CHIRP Payment Calc'!A:A,0)),0)</f>
        <v>0</v>
      </c>
      <c r="M205" s="3">
        <f t="shared" si="9"/>
        <v>0</v>
      </c>
    </row>
    <row r="206" spans="1:13">
      <c r="A206" s="9" t="s">
        <v>276</v>
      </c>
      <c r="B206" s="9" t="s">
        <v>300</v>
      </c>
      <c r="C206" s="9" t="s">
        <v>222</v>
      </c>
      <c r="D206" s="4" t="s">
        <v>277</v>
      </c>
      <c r="E206" s="14" t="s">
        <v>277</v>
      </c>
      <c r="F206" s="14" t="s">
        <v>278</v>
      </c>
      <c r="G206" s="14" t="s">
        <v>276</v>
      </c>
      <c r="H206" s="9" t="s">
        <v>2073</v>
      </c>
      <c r="I206" s="3">
        <v>10755952.091321182</v>
      </c>
      <c r="J206" s="3">
        <v>0</v>
      </c>
      <c r="K206" s="3">
        <f t="shared" si="8"/>
        <v>10755952.091321182</v>
      </c>
      <c r="L206" s="3">
        <f>IFERROR(INDEX('CHIRP Payment Calc'!K:K,MATCH(A:A,'CHIRP Payment Calc'!A:A,0)),0)</f>
        <v>22108875.91629887</v>
      </c>
      <c r="M206" s="3">
        <f t="shared" si="9"/>
        <v>-11352923.824977688</v>
      </c>
    </row>
    <row r="207" spans="1:13">
      <c r="A207" s="9" t="s">
        <v>481</v>
      </c>
      <c r="B207" s="9" t="s">
        <v>300</v>
      </c>
      <c r="C207" s="9" t="s">
        <v>222</v>
      </c>
      <c r="D207" s="4" t="s">
        <v>482</v>
      </c>
      <c r="E207" s="14" t="s">
        <v>482</v>
      </c>
      <c r="F207" s="14" t="s">
        <v>483</v>
      </c>
      <c r="G207" s="14" t="s">
        <v>481</v>
      </c>
      <c r="H207" s="9" t="s">
        <v>2072</v>
      </c>
      <c r="I207" s="3">
        <v>0</v>
      </c>
      <c r="J207" s="3">
        <v>243613.50484655274</v>
      </c>
      <c r="K207" s="3">
        <f t="shared" si="8"/>
        <v>243613.50484655274</v>
      </c>
      <c r="L207" s="3">
        <f>IFERROR(INDEX('CHIRP Payment Calc'!K:K,MATCH(A:A,'CHIRP Payment Calc'!A:A,0)),0)</f>
        <v>0</v>
      </c>
      <c r="M207" s="3">
        <f t="shared" si="9"/>
        <v>243613.50484655274</v>
      </c>
    </row>
    <row r="208" spans="1:13">
      <c r="A208" s="9" t="s">
        <v>689</v>
      </c>
      <c r="B208" s="9" t="s">
        <v>300</v>
      </c>
      <c r="C208" s="9" t="s">
        <v>222</v>
      </c>
      <c r="D208" s="4" t="s">
        <v>690</v>
      </c>
      <c r="E208" s="14" t="s">
        <v>690</v>
      </c>
      <c r="F208" s="14" t="s">
        <v>691</v>
      </c>
      <c r="G208" s="14" t="s">
        <v>689</v>
      </c>
      <c r="H208" s="9" t="s">
        <v>2071</v>
      </c>
      <c r="I208" s="3">
        <v>2671752.8979548551</v>
      </c>
      <c r="J208" s="3">
        <v>1513977.7999439409</v>
      </c>
      <c r="K208" s="3">
        <f t="shared" si="8"/>
        <v>4185730.6978987958</v>
      </c>
      <c r="L208" s="3">
        <f>IFERROR(INDEX('CHIRP Payment Calc'!K:K,MATCH(A:A,'CHIRP Payment Calc'!A:A,0)),0)</f>
        <v>0</v>
      </c>
      <c r="M208" s="3">
        <f t="shared" si="9"/>
        <v>4185730.6978987958</v>
      </c>
    </row>
    <row r="209" spans="1:13">
      <c r="A209" s="9" t="s">
        <v>1564</v>
      </c>
      <c r="B209" s="9" t="s">
        <v>300</v>
      </c>
      <c r="C209" s="9" t="s">
        <v>222</v>
      </c>
      <c r="D209" s="4" t="s">
        <v>1277</v>
      </c>
      <c r="E209" s="14" t="s">
        <v>1277</v>
      </c>
      <c r="F209" s="14" t="s">
        <v>1278</v>
      </c>
      <c r="G209" s="14" t="s">
        <v>1564</v>
      </c>
      <c r="H209" s="9" t="s">
        <v>2070</v>
      </c>
      <c r="I209" s="3">
        <v>8881682.7941727787</v>
      </c>
      <c r="J209" s="3">
        <v>0</v>
      </c>
      <c r="K209" s="3">
        <f t="shared" si="8"/>
        <v>8881682.7941727787</v>
      </c>
      <c r="L209" s="3">
        <f>IFERROR(INDEX('CHIRP Payment Calc'!K:K,MATCH(A:A,'CHIRP Payment Calc'!A:A,0)),0)</f>
        <v>22652163.994628847</v>
      </c>
      <c r="M209" s="3">
        <f t="shared" si="9"/>
        <v>-13770481.200456068</v>
      </c>
    </row>
    <row r="210" spans="1:13">
      <c r="A210" s="9" t="s">
        <v>240</v>
      </c>
      <c r="B210" s="9" t="s">
        <v>300</v>
      </c>
      <c r="C210" s="9" t="s">
        <v>222</v>
      </c>
      <c r="D210" s="4" t="s">
        <v>241</v>
      </c>
      <c r="E210" s="14" t="s">
        <v>241</v>
      </c>
      <c r="F210" s="14" t="s">
        <v>242</v>
      </c>
      <c r="G210" s="14" t="s">
        <v>240</v>
      </c>
      <c r="H210" s="9" t="s">
        <v>2069</v>
      </c>
      <c r="I210" s="3">
        <v>3454082.7031435887</v>
      </c>
      <c r="J210" s="3">
        <v>2387252.1755449562</v>
      </c>
      <c r="K210" s="3">
        <f t="shared" si="8"/>
        <v>5841334.878688545</v>
      </c>
      <c r="L210" s="3">
        <f>IFERROR(INDEX('CHIRP Payment Calc'!K:K,MATCH(A:A,'CHIRP Payment Calc'!A:A,0)),0)</f>
        <v>8582699.7959369216</v>
      </c>
      <c r="M210" s="3">
        <f t="shared" si="9"/>
        <v>-2741364.9172483766</v>
      </c>
    </row>
    <row r="211" spans="1:13">
      <c r="A211" s="9" t="s">
        <v>1315</v>
      </c>
      <c r="B211" s="9" t="s">
        <v>300</v>
      </c>
      <c r="C211" s="9" t="s">
        <v>222</v>
      </c>
      <c r="D211" s="4" t="s">
        <v>1316</v>
      </c>
      <c r="E211" s="14" t="s">
        <v>1316</v>
      </c>
      <c r="F211" s="14" t="s">
        <v>1317</v>
      </c>
      <c r="G211" s="14" t="s">
        <v>1315</v>
      </c>
      <c r="H211" s="9" t="s">
        <v>2068</v>
      </c>
      <c r="I211" s="3">
        <v>3333503.7373366142</v>
      </c>
      <c r="J211" s="3">
        <v>2305827.88233743</v>
      </c>
      <c r="K211" s="3">
        <f t="shared" si="8"/>
        <v>5639331.6196740437</v>
      </c>
      <c r="L211" s="3">
        <f>IFERROR(INDEX('CHIRP Payment Calc'!K:K,MATCH(A:A,'CHIRP Payment Calc'!A:A,0)),0)</f>
        <v>8759019.7673371583</v>
      </c>
      <c r="M211" s="3">
        <f t="shared" si="9"/>
        <v>-3119688.1476631146</v>
      </c>
    </row>
    <row r="212" spans="1:13">
      <c r="A212" s="9" t="s">
        <v>216</v>
      </c>
      <c r="B212" s="9" t="s">
        <v>300</v>
      </c>
      <c r="C212" s="9" t="s">
        <v>222</v>
      </c>
      <c r="D212" s="4" t="s">
        <v>217</v>
      </c>
      <c r="E212" s="14" t="s">
        <v>217</v>
      </c>
      <c r="F212" s="14" t="s">
        <v>218</v>
      </c>
      <c r="G212" s="14" t="s">
        <v>216</v>
      </c>
      <c r="H212" s="9" t="s">
        <v>2067</v>
      </c>
      <c r="I212" s="3">
        <v>0</v>
      </c>
      <c r="J212" s="3">
        <v>0</v>
      </c>
      <c r="K212" s="3">
        <f t="shared" si="8"/>
        <v>0</v>
      </c>
      <c r="L212" s="3">
        <f>IFERROR(INDEX('CHIRP Payment Calc'!K:K,MATCH(A:A,'CHIRP Payment Calc'!A:A,0)),0)</f>
        <v>0</v>
      </c>
      <c r="M212" s="3">
        <f t="shared" si="9"/>
        <v>0</v>
      </c>
    </row>
    <row r="213" spans="1:13">
      <c r="A213" s="9" t="s">
        <v>183</v>
      </c>
      <c r="B213" s="9" t="s">
        <v>300</v>
      </c>
      <c r="C213" s="9" t="s">
        <v>222</v>
      </c>
      <c r="D213" s="4" t="s">
        <v>184</v>
      </c>
      <c r="E213" s="14" t="s">
        <v>184</v>
      </c>
      <c r="F213" s="14" t="s">
        <v>185</v>
      </c>
      <c r="G213" s="14" t="s">
        <v>183</v>
      </c>
      <c r="H213" s="9" t="s">
        <v>2066</v>
      </c>
      <c r="I213" s="3">
        <v>3555624.139176771</v>
      </c>
      <c r="J213" s="3">
        <v>909856.95765149058</v>
      </c>
      <c r="K213" s="3">
        <f t="shared" si="8"/>
        <v>4465481.0968282614</v>
      </c>
      <c r="L213" s="3">
        <f>IFERROR(INDEX('CHIRP Payment Calc'!K:K,MATCH(A:A,'CHIRP Payment Calc'!A:A,0)),0)</f>
        <v>6928127.2200677153</v>
      </c>
      <c r="M213" s="3">
        <f t="shared" si="9"/>
        <v>-2462646.1232394539</v>
      </c>
    </row>
    <row r="214" spans="1:13">
      <c r="A214" s="9" t="s">
        <v>563</v>
      </c>
      <c r="B214" s="9" t="s">
        <v>300</v>
      </c>
      <c r="C214" s="9" t="s">
        <v>222</v>
      </c>
      <c r="D214" s="4" t="s">
        <v>564</v>
      </c>
      <c r="E214" s="14" t="s">
        <v>564</v>
      </c>
      <c r="F214" s="14" t="s">
        <v>565</v>
      </c>
      <c r="G214" s="14" t="s">
        <v>563</v>
      </c>
      <c r="H214" s="9" t="s">
        <v>2065</v>
      </c>
      <c r="I214" s="3">
        <v>9061851.7920339108</v>
      </c>
      <c r="J214" s="3">
        <v>4990602.1781760724</v>
      </c>
      <c r="K214" s="3">
        <f t="shared" si="8"/>
        <v>14052453.970209982</v>
      </c>
      <c r="L214" s="3">
        <f>IFERROR(INDEX('CHIRP Payment Calc'!K:K,MATCH(A:A,'CHIRP Payment Calc'!A:A,0)),0)</f>
        <v>22027554.445575509</v>
      </c>
      <c r="M214" s="3">
        <f t="shared" si="9"/>
        <v>-7975100.475365527</v>
      </c>
    </row>
    <row r="215" spans="1:13">
      <c r="A215" s="9" t="s">
        <v>1389</v>
      </c>
      <c r="B215" s="9" t="s">
        <v>300</v>
      </c>
      <c r="C215" s="9" t="s">
        <v>222</v>
      </c>
      <c r="D215" s="4" t="s">
        <v>1390</v>
      </c>
      <c r="E215" s="14" t="s">
        <v>1390</v>
      </c>
      <c r="F215" s="14" t="s">
        <v>1391</v>
      </c>
      <c r="G215" s="14" t="s">
        <v>1389</v>
      </c>
      <c r="H215" s="9" t="s">
        <v>2064</v>
      </c>
      <c r="I215" s="3">
        <v>0</v>
      </c>
      <c r="J215" s="3">
        <v>0</v>
      </c>
      <c r="K215" s="3">
        <f t="shared" si="8"/>
        <v>0</v>
      </c>
      <c r="L215" s="3">
        <f>IFERROR(INDEX('CHIRP Payment Calc'!K:K,MATCH(A:A,'CHIRP Payment Calc'!A:A,0)),0)</f>
        <v>0</v>
      </c>
      <c r="M215" s="3">
        <f t="shared" si="9"/>
        <v>0</v>
      </c>
    </row>
    <row r="216" spans="1:13">
      <c r="A216" s="9" t="s">
        <v>647</v>
      </c>
      <c r="B216" s="9" t="s">
        <v>300</v>
      </c>
      <c r="C216" s="9" t="s">
        <v>222</v>
      </c>
      <c r="D216" s="4" t="s">
        <v>648</v>
      </c>
      <c r="E216" s="14" t="s">
        <v>648</v>
      </c>
      <c r="F216" s="14" t="s">
        <v>649</v>
      </c>
      <c r="G216" s="14" t="s">
        <v>647</v>
      </c>
      <c r="H216" s="9" t="s">
        <v>2063</v>
      </c>
      <c r="I216" s="3">
        <v>1980304.2455496946</v>
      </c>
      <c r="J216" s="3">
        <v>1095195.5316232801</v>
      </c>
      <c r="K216" s="3">
        <f t="shared" si="8"/>
        <v>3075499.7771729748</v>
      </c>
      <c r="L216" s="3">
        <f>IFERROR(INDEX('CHIRP Payment Calc'!K:K,MATCH(A:A,'CHIRP Payment Calc'!A:A,0)),0)</f>
        <v>3698473.7889045938</v>
      </c>
      <c r="M216" s="3">
        <f t="shared" si="9"/>
        <v>-622974.01173161902</v>
      </c>
    </row>
    <row r="217" spans="1:13">
      <c r="A217" s="9" t="s">
        <v>835</v>
      </c>
      <c r="B217" s="9" t="s">
        <v>300</v>
      </c>
      <c r="C217" s="9" t="s">
        <v>222</v>
      </c>
      <c r="D217" s="4" t="s">
        <v>836</v>
      </c>
      <c r="E217" s="14" t="s">
        <v>836</v>
      </c>
      <c r="F217" s="14" t="s">
        <v>837</v>
      </c>
      <c r="G217" s="14" t="s">
        <v>835</v>
      </c>
      <c r="H217" s="9" t="s">
        <v>2062</v>
      </c>
      <c r="I217" s="3">
        <v>103062258.74855186</v>
      </c>
      <c r="J217" s="3">
        <v>26891498.769425526</v>
      </c>
      <c r="K217" s="3">
        <f t="shared" si="8"/>
        <v>129953757.51797739</v>
      </c>
      <c r="L217" s="3">
        <f>IFERROR(INDEX('CHIRP Payment Calc'!K:K,MATCH(A:A,'CHIRP Payment Calc'!A:A,0)),0)</f>
        <v>192741305.73979679</v>
      </c>
      <c r="M217" s="3">
        <f t="shared" si="9"/>
        <v>-62787548.221819401</v>
      </c>
    </row>
    <row r="218" spans="1:13">
      <c r="A218" s="9" t="s">
        <v>123</v>
      </c>
      <c r="B218" s="9" t="s">
        <v>300</v>
      </c>
      <c r="C218" s="9" t="s">
        <v>1479</v>
      </c>
      <c r="D218" s="4" t="s">
        <v>124</v>
      </c>
      <c r="E218" s="14" t="s">
        <v>124</v>
      </c>
      <c r="F218" s="14" t="s">
        <v>125</v>
      </c>
      <c r="G218" s="14" t="s">
        <v>123</v>
      </c>
      <c r="H218" s="9" t="s">
        <v>2061</v>
      </c>
      <c r="I218" s="3">
        <v>767728.50861974922</v>
      </c>
      <c r="J218" s="3">
        <v>271210.42735256476</v>
      </c>
      <c r="K218" s="3">
        <f t="shared" si="8"/>
        <v>1038938.935972314</v>
      </c>
      <c r="L218" s="3">
        <f>IFERROR(INDEX('CHIRP Payment Calc'!K:K,MATCH(A:A,'CHIRP Payment Calc'!A:A,0)),0)</f>
        <v>1353685.2288204602</v>
      </c>
      <c r="M218" s="3">
        <f t="shared" si="9"/>
        <v>-314746.29284814617</v>
      </c>
    </row>
    <row r="219" spans="1:13">
      <c r="A219" s="9" t="s">
        <v>530</v>
      </c>
      <c r="B219" s="9" t="s">
        <v>300</v>
      </c>
      <c r="C219" s="9" t="s">
        <v>1479</v>
      </c>
      <c r="D219" s="4" t="s">
        <v>531</v>
      </c>
      <c r="E219" s="14" t="s">
        <v>531</v>
      </c>
      <c r="F219" s="14" t="s">
        <v>532</v>
      </c>
      <c r="G219" s="14" t="s">
        <v>530</v>
      </c>
      <c r="H219" s="9" t="s">
        <v>2060</v>
      </c>
      <c r="I219" s="3">
        <v>245744.83954993339</v>
      </c>
      <c r="J219" s="3">
        <v>80797.337641081991</v>
      </c>
      <c r="K219" s="3">
        <f t="shared" si="8"/>
        <v>326542.17719101539</v>
      </c>
      <c r="L219" s="3">
        <f>IFERROR(INDEX('CHIRP Payment Calc'!K:K,MATCH(A:A,'CHIRP Payment Calc'!A:A,0)),0)</f>
        <v>380059.77103891305</v>
      </c>
      <c r="M219" s="3">
        <f t="shared" si="9"/>
        <v>-53517.59384789766</v>
      </c>
    </row>
    <row r="220" spans="1:13">
      <c r="A220" s="9" t="s">
        <v>953</v>
      </c>
      <c r="B220" s="9" t="s">
        <v>300</v>
      </c>
      <c r="C220" s="9" t="s">
        <v>1479</v>
      </c>
      <c r="D220" s="4" t="s">
        <v>954</v>
      </c>
      <c r="E220" s="14" t="s">
        <v>954</v>
      </c>
      <c r="F220" s="14" t="s">
        <v>955</v>
      </c>
      <c r="G220" s="14" t="s">
        <v>953</v>
      </c>
      <c r="H220" s="9" t="s">
        <v>1644</v>
      </c>
      <c r="I220" s="3">
        <v>124506.91232233048</v>
      </c>
      <c r="J220" s="3">
        <v>38456.452481902539</v>
      </c>
      <c r="K220" s="3">
        <f t="shared" si="8"/>
        <v>162963.36480423302</v>
      </c>
      <c r="L220" s="3">
        <f>IFERROR(INDEX('CHIRP Payment Calc'!K:K,MATCH(A:A,'CHIRP Payment Calc'!A:A,0)),0)</f>
        <v>301742.58186422748</v>
      </c>
      <c r="M220" s="3">
        <f t="shared" si="9"/>
        <v>-138779.21705999447</v>
      </c>
    </row>
    <row r="221" spans="1:13">
      <c r="A221" s="9" t="s">
        <v>1072</v>
      </c>
      <c r="B221" s="9" t="s">
        <v>300</v>
      </c>
      <c r="C221" s="9" t="s">
        <v>1545</v>
      </c>
      <c r="D221" s="4" t="s">
        <v>1073</v>
      </c>
      <c r="E221" s="14" t="s">
        <v>1073</v>
      </c>
      <c r="F221" s="14" t="s">
        <v>1074</v>
      </c>
      <c r="G221" s="14" t="s">
        <v>1072</v>
      </c>
      <c r="H221" s="9" t="s">
        <v>1601</v>
      </c>
      <c r="I221" s="3">
        <v>397211.11106598499</v>
      </c>
      <c r="J221" s="3">
        <v>415291.3331832267</v>
      </c>
      <c r="K221" s="3">
        <f t="shared" si="8"/>
        <v>812502.44424921169</v>
      </c>
      <c r="L221" s="3">
        <f>IFERROR(INDEX('CHIRP Payment Calc'!K:K,MATCH(A:A,'CHIRP Payment Calc'!A:A,0)),0)</f>
        <v>1086059.6759539992</v>
      </c>
      <c r="M221" s="3">
        <f t="shared" si="9"/>
        <v>-273557.23170478747</v>
      </c>
    </row>
    <row r="222" spans="1:13">
      <c r="A222" s="9" t="s">
        <v>822</v>
      </c>
      <c r="B222" s="9" t="s">
        <v>300</v>
      </c>
      <c r="C222" s="9" t="s">
        <v>1545</v>
      </c>
      <c r="D222" s="4" t="s">
        <v>823</v>
      </c>
      <c r="E222" s="14" t="s">
        <v>823</v>
      </c>
      <c r="F222" s="14" t="s">
        <v>824</v>
      </c>
      <c r="G222" s="14" t="s">
        <v>822</v>
      </c>
      <c r="H222" s="9" t="s">
        <v>2059</v>
      </c>
      <c r="I222" s="3">
        <v>3276063.5548169687</v>
      </c>
      <c r="J222" s="3">
        <v>1208784.8161505638</v>
      </c>
      <c r="K222" s="3">
        <f t="shared" si="8"/>
        <v>4484848.3709675325</v>
      </c>
      <c r="L222" s="3">
        <f>IFERROR(INDEX('CHIRP Payment Calc'!K:K,MATCH(A:A,'CHIRP Payment Calc'!A:A,0)),0)</f>
        <v>8676075.9985894132</v>
      </c>
      <c r="M222" s="3">
        <f t="shared" si="9"/>
        <v>-4191227.6276218807</v>
      </c>
    </row>
    <row r="223" spans="1:13">
      <c r="A223" s="9" t="s">
        <v>738</v>
      </c>
      <c r="B223" s="9" t="s">
        <v>300</v>
      </c>
      <c r="C223" s="9" t="s">
        <v>1554</v>
      </c>
      <c r="D223" s="4" t="s">
        <v>739</v>
      </c>
      <c r="E223" s="14" t="s">
        <v>739</v>
      </c>
      <c r="F223" s="14" t="s">
        <v>740</v>
      </c>
      <c r="G223" s="14" t="s">
        <v>738</v>
      </c>
      <c r="H223" s="9" t="s">
        <v>1680</v>
      </c>
      <c r="I223" s="3">
        <v>17679471.934180588</v>
      </c>
      <c r="J223" s="3">
        <v>28922171.817361128</v>
      </c>
      <c r="K223" s="3">
        <f t="shared" si="8"/>
        <v>46601643.751541719</v>
      </c>
      <c r="L223" s="3">
        <f>IFERROR(INDEX('CHIRP Payment Calc'!K:K,MATCH(A:A,'CHIRP Payment Calc'!A:A,0)),0)</f>
        <v>40260277.007578231</v>
      </c>
      <c r="M223" s="3">
        <f t="shared" si="9"/>
        <v>6341366.7439634874</v>
      </c>
    </row>
    <row r="224" spans="1:13">
      <c r="A224" s="9" t="s">
        <v>1330</v>
      </c>
      <c r="B224" s="9" t="s">
        <v>1514</v>
      </c>
      <c r="C224" s="9" t="s">
        <v>1796</v>
      </c>
      <c r="D224" s="4" t="s">
        <v>1331</v>
      </c>
      <c r="E224" s="14" t="s">
        <v>1331</v>
      </c>
      <c r="F224" s="14" t="s">
        <v>1332</v>
      </c>
      <c r="G224" s="14" t="s">
        <v>1330</v>
      </c>
      <c r="H224" s="9" t="s">
        <v>2058</v>
      </c>
      <c r="I224" s="3">
        <v>1920257.9789250519</v>
      </c>
      <c r="J224" s="3">
        <v>0</v>
      </c>
      <c r="K224" s="3">
        <f t="shared" si="8"/>
        <v>1920257.9789250519</v>
      </c>
      <c r="L224" s="3">
        <f>IFERROR(INDEX('CHIRP Payment Calc'!K:K,MATCH(A:A,'CHIRP Payment Calc'!A:A,0)),0)</f>
        <v>2645779.3183898861</v>
      </c>
      <c r="M224" s="3">
        <f t="shared" si="9"/>
        <v>-725521.33946483419</v>
      </c>
    </row>
    <row r="225" spans="1:13">
      <c r="A225" s="9" t="s">
        <v>1721</v>
      </c>
      <c r="C225" s="9" t="s">
        <v>222</v>
      </c>
      <c r="D225" s="4" t="s">
        <v>1722</v>
      </c>
      <c r="E225" s="14" t="s">
        <v>1722</v>
      </c>
      <c r="F225" s="14" t="e">
        <v>#N/A</v>
      </c>
      <c r="G225" s="14" t="s">
        <v>1721</v>
      </c>
      <c r="H225" s="9" t="s">
        <v>1720</v>
      </c>
      <c r="I225" s="3">
        <v>0</v>
      </c>
      <c r="J225" s="3">
        <v>104.03253134809725</v>
      </c>
      <c r="K225" s="3">
        <f t="shared" si="8"/>
        <v>104.03253134809725</v>
      </c>
      <c r="L225" s="3">
        <f>IFERROR(INDEX('CHIRP Payment Calc'!K:K,MATCH(A:A,'CHIRP Payment Calc'!A:A,0)),0)</f>
        <v>0</v>
      </c>
      <c r="M225" s="3">
        <f t="shared" si="9"/>
        <v>104.03253134809725</v>
      </c>
    </row>
    <row r="226" spans="1:13">
      <c r="A226" s="9" t="s">
        <v>644</v>
      </c>
      <c r="B226" s="9" t="s">
        <v>1514</v>
      </c>
      <c r="C226" s="9" t="s">
        <v>222</v>
      </c>
      <c r="D226" s="4" t="s">
        <v>645</v>
      </c>
      <c r="E226" s="14" t="s">
        <v>645</v>
      </c>
      <c r="F226" s="14" t="s">
        <v>646</v>
      </c>
      <c r="G226" s="14" t="s">
        <v>644</v>
      </c>
      <c r="H226" s="9" t="s">
        <v>2054</v>
      </c>
      <c r="I226" s="3">
        <v>10202499.404488385</v>
      </c>
      <c r="J226" s="3">
        <v>2567145.5054468708</v>
      </c>
      <c r="K226" s="3">
        <f t="shared" si="8"/>
        <v>12769644.909935255</v>
      </c>
      <c r="L226" s="3">
        <f>IFERROR(INDEX('CHIRP Payment Calc'!K:K,MATCH(A:A,'CHIRP Payment Calc'!A:A,0)),0)</f>
        <v>19315442.053930975</v>
      </c>
      <c r="M226" s="3">
        <f t="shared" si="9"/>
        <v>-6545797.1439957209</v>
      </c>
    </row>
    <row r="227" spans="1:13">
      <c r="A227" s="9" t="s">
        <v>1318</v>
      </c>
      <c r="B227" s="9" t="s">
        <v>1514</v>
      </c>
      <c r="C227" s="9" t="s">
        <v>222</v>
      </c>
      <c r="D227" s="4" t="s">
        <v>1319</v>
      </c>
      <c r="E227" s="14" t="s">
        <v>1319</v>
      </c>
      <c r="F227" s="14" t="s">
        <v>1320</v>
      </c>
      <c r="G227" s="14" t="s">
        <v>1318</v>
      </c>
      <c r="H227" s="9" t="s">
        <v>2053</v>
      </c>
      <c r="I227" s="3">
        <v>50717711.776930489</v>
      </c>
      <c r="J227" s="3">
        <v>13218019.742867328</v>
      </c>
      <c r="K227" s="3">
        <f t="shared" si="8"/>
        <v>63935731.519797817</v>
      </c>
      <c r="L227" s="3">
        <f>IFERROR(INDEX('CHIRP Payment Calc'!K:K,MATCH(A:A,'CHIRP Payment Calc'!A:A,0)),0)</f>
        <v>94242438.550078467</v>
      </c>
      <c r="M227" s="3">
        <f t="shared" si="9"/>
        <v>-30306707.03028065</v>
      </c>
    </row>
    <row r="228" spans="1:13">
      <c r="A228" s="9" t="s">
        <v>1508</v>
      </c>
      <c r="B228" s="9" t="s">
        <v>1514</v>
      </c>
      <c r="C228" s="9" t="s">
        <v>222</v>
      </c>
      <c r="D228" s="4" t="s">
        <v>1509</v>
      </c>
      <c r="E228" s="14" t="s">
        <v>1509</v>
      </c>
      <c r="F228" s="14" t="s">
        <v>1510</v>
      </c>
      <c r="G228" s="14" t="s">
        <v>1508</v>
      </c>
      <c r="H228" s="9" t="s">
        <v>2052</v>
      </c>
      <c r="I228" s="3">
        <v>60437.491062900655</v>
      </c>
      <c r="J228" s="3">
        <v>244240.71576997516</v>
      </c>
      <c r="K228" s="3">
        <f t="shared" si="8"/>
        <v>304678.20683287579</v>
      </c>
      <c r="L228" s="3">
        <f>IFERROR(INDEX('CHIRP Payment Calc'!K:K,MATCH(A:A,'CHIRP Payment Calc'!A:A,0)),0)</f>
        <v>0</v>
      </c>
      <c r="M228" s="3">
        <f t="shared" si="9"/>
        <v>304678.20683287579</v>
      </c>
    </row>
    <row r="229" spans="1:13">
      <c r="A229" s="9" t="s">
        <v>1369</v>
      </c>
      <c r="B229" s="9" t="s">
        <v>1514</v>
      </c>
      <c r="C229" s="9" t="s">
        <v>222</v>
      </c>
      <c r="D229" s="4" t="s">
        <v>1370</v>
      </c>
      <c r="E229" s="14" t="s">
        <v>1370</v>
      </c>
      <c r="F229" s="14" t="s">
        <v>1371</v>
      </c>
      <c r="G229" s="14" t="s">
        <v>1369</v>
      </c>
      <c r="H229" s="9" t="s">
        <v>1748</v>
      </c>
      <c r="I229" s="3">
        <v>15927554.372090233</v>
      </c>
      <c r="J229" s="3">
        <v>7162040.4568082877</v>
      </c>
      <c r="K229" s="3">
        <f t="shared" si="8"/>
        <v>23089594.828898519</v>
      </c>
      <c r="L229" s="3">
        <f>IFERROR(INDEX('CHIRP Payment Calc'!K:K,MATCH(A:A,'CHIRP Payment Calc'!A:A,0)),0)</f>
        <v>31962155.796272069</v>
      </c>
      <c r="M229" s="3">
        <f t="shared" si="9"/>
        <v>-8872560.9673735499</v>
      </c>
    </row>
    <row r="230" spans="1:13">
      <c r="A230" s="9" t="s">
        <v>1158</v>
      </c>
      <c r="B230" s="9" t="s">
        <v>1514</v>
      </c>
      <c r="C230" s="9" t="s">
        <v>222</v>
      </c>
      <c r="D230" s="4" t="s">
        <v>1159</v>
      </c>
      <c r="E230" s="14" t="s">
        <v>1159</v>
      </c>
      <c r="F230" s="14" t="s">
        <v>1160</v>
      </c>
      <c r="G230" s="14" t="s">
        <v>1158</v>
      </c>
      <c r="H230" s="9" t="s">
        <v>2051</v>
      </c>
      <c r="I230" s="3">
        <v>9759543.8405791782</v>
      </c>
      <c r="J230" s="3">
        <v>3871947.7889704658</v>
      </c>
      <c r="K230" s="3">
        <f t="shared" si="8"/>
        <v>13631491.629549645</v>
      </c>
      <c r="L230" s="3">
        <f>IFERROR(INDEX('CHIRP Payment Calc'!K:K,MATCH(A:A,'CHIRP Payment Calc'!A:A,0)),0)</f>
        <v>21239172.407235678</v>
      </c>
      <c r="M230" s="3">
        <f t="shared" si="9"/>
        <v>-7607680.7776860334</v>
      </c>
    </row>
    <row r="231" spans="1:13">
      <c r="A231" s="9" t="s">
        <v>590</v>
      </c>
      <c r="B231" s="9" t="s">
        <v>1514</v>
      </c>
      <c r="C231" s="9" t="s">
        <v>222</v>
      </c>
      <c r="D231" s="4" t="s">
        <v>591</v>
      </c>
      <c r="E231" s="14" t="s">
        <v>591</v>
      </c>
      <c r="F231" s="14" t="s">
        <v>592</v>
      </c>
      <c r="G231" s="14" t="s">
        <v>590</v>
      </c>
      <c r="H231" s="9" t="s">
        <v>2050</v>
      </c>
      <c r="I231" s="3">
        <v>9464620.1213527117</v>
      </c>
      <c r="J231" s="3">
        <v>2365052.2823093138</v>
      </c>
      <c r="K231" s="3">
        <f t="shared" si="8"/>
        <v>11829672.403662026</v>
      </c>
      <c r="L231" s="3">
        <f>IFERROR(INDEX('CHIRP Payment Calc'!K:K,MATCH(A:A,'CHIRP Payment Calc'!A:A,0)),0)</f>
        <v>16586492.719781639</v>
      </c>
      <c r="M231" s="3">
        <f t="shared" si="9"/>
        <v>-4756820.3161196131</v>
      </c>
    </row>
    <row r="232" spans="1:13">
      <c r="A232" s="9" t="s">
        <v>231</v>
      </c>
      <c r="B232" s="9" t="s">
        <v>1514</v>
      </c>
      <c r="C232" s="9" t="s">
        <v>222</v>
      </c>
      <c r="D232" s="4" t="s">
        <v>232</v>
      </c>
      <c r="E232" s="14" t="s">
        <v>232</v>
      </c>
      <c r="F232" s="14" t="s">
        <v>233</v>
      </c>
      <c r="G232" s="14" t="s">
        <v>231</v>
      </c>
      <c r="H232" s="9" t="s">
        <v>2049</v>
      </c>
      <c r="I232" s="3">
        <v>0</v>
      </c>
      <c r="J232" s="3">
        <v>0</v>
      </c>
      <c r="K232" s="3">
        <f t="shared" si="8"/>
        <v>0</v>
      </c>
      <c r="L232" s="3">
        <f>IFERROR(INDEX('CHIRP Payment Calc'!K:K,MATCH(A:A,'CHIRP Payment Calc'!A:A,0)),0)</f>
        <v>0</v>
      </c>
      <c r="M232" s="3">
        <f t="shared" si="9"/>
        <v>0</v>
      </c>
    </row>
    <row r="233" spans="1:13">
      <c r="A233" s="9" t="s">
        <v>662</v>
      </c>
      <c r="B233" s="9" t="s">
        <v>1514</v>
      </c>
      <c r="C233" s="9" t="s">
        <v>222</v>
      </c>
      <c r="D233" s="4" t="s">
        <v>663</v>
      </c>
      <c r="E233" s="14" t="s">
        <v>663</v>
      </c>
      <c r="F233" s="14" t="s">
        <v>664</v>
      </c>
      <c r="G233" s="14" t="s">
        <v>662</v>
      </c>
      <c r="H233" s="9" t="s">
        <v>1702</v>
      </c>
      <c r="I233" s="3">
        <v>378868.18253344577</v>
      </c>
      <c r="J233" s="3">
        <v>219097.36353693725</v>
      </c>
      <c r="K233" s="3">
        <f t="shared" si="8"/>
        <v>597965.54607038305</v>
      </c>
      <c r="L233" s="3">
        <f>IFERROR(INDEX('CHIRP Payment Calc'!K:K,MATCH(A:A,'CHIRP Payment Calc'!A:A,0)),0)</f>
        <v>939632.68164899794</v>
      </c>
      <c r="M233" s="3">
        <f t="shared" si="9"/>
        <v>-341667.13557861489</v>
      </c>
    </row>
    <row r="234" spans="1:13">
      <c r="A234" s="9" t="s">
        <v>792</v>
      </c>
      <c r="B234" s="9" t="s">
        <v>1514</v>
      </c>
      <c r="C234" s="9" t="s">
        <v>222</v>
      </c>
      <c r="D234" s="4" t="s">
        <v>793</v>
      </c>
      <c r="E234" s="14" t="s">
        <v>793</v>
      </c>
      <c r="F234" s="14" t="s">
        <v>794</v>
      </c>
      <c r="G234" s="14" t="s">
        <v>792</v>
      </c>
      <c r="H234" s="9" t="s">
        <v>2048</v>
      </c>
      <c r="I234" s="3">
        <v>11375816.186112061</v>
      </c>
      <c r="J234" s="3">
        <v>2957112.9111658707</v>
      </c>
      <c r="K234" s="3">
        <f t="shared" si="8"/>
        <v>14332929.097277932</v>
      </c>
      <c r="L234" s="3">
        <f>IFERROR(INDEX('CHIRP Payment Calc'!K:K,MATCH(A:A,'CHIRP Payment Calc'!A:A,0)),0)</f>
        <v>21625917.580406237</v>
      </c>
      <c r="M234" s="3">
        <f t="shared" si="9"/>
        <v>-7292988.4831283055</v>
      </c>
    </row>
    <row r="235" spans="1:13">
      <c r="A235" s="9" t="s">
        <v>1542</v>
      </c>
      <c r="B235" s="9" t="s">
        <v>1514</v>
      </c>
      <c r="C235" s="9" t="s">
        <v>222</v>
      </c>
      <c r="D235" s="4" t="s">
        <v>1543</v>
      </c>
      <c r="E235" s="14" t="s">
        <v>1543</v>
      </c>
      <c r="F235" s="14" t="s">
        <v>1544</v>
      </c>
      <c r="G235" s="14" t="s">
        <v>1542</v>
      </c>
      <c r="H235" s="9" t="s">
        <v>2047</v>
      </c>
      <c r="I235" s="3">
        <v>0</v>
      </c>
      <c r="J235" s="3">
        <v>8990.686169760409</v>
      </c>
      <c r="K235" s="3">
        <f t="shared" si="8"/>
        <v>8990.686169760409</v>
      </c>
      <c r="L235" s="3">
        <f>IFERROR(INDEX('CHIRP Payment Calc'!K:K,MATCH(A:A,'CHIRP Payment Calc'!A:A,0)),0)</f>
        <v>0</v>
      </c>
      <c r="M235" s="3">
        <f t="shared" si="9"/>
        <v>8990.686169760409</v>
      </c>
    </row>
    <row r="236" spans="1:13">
      <c r="A236" s="9" t="s">
        <v>789</v>
      </c>
      <c r="B236" s="9" t="s">
        <v>1514</v>
      </c>
      <c r="C236" s="9" t="s">
        <v>222</v>
      </c>
      <c r="D236" s="4" t="s">
        <v>790</v>
      </c>
      <c r="E236" s="14" t="s">
        <v>790</v>
      </c>
      <c r="F236" s="14" t="s">
        <v>791</v>
      </c>
      <c r="G236" s="14" t="s">
        <v>789</v>
      </c>
      <c r="H236" s="9" t="s">
        <v>1671</v>
      </c>
      <c r="I236" s="3">
        <v>11522254.554969426</v>
      </c>
      <c r="J236" s="3">
        <v>5703610.7366879787</v>
      </c>
      <c r="K236" s="3">
        <f t="shared" si="8"/>
        <v>17225865.291657403</v>
      </c>
      <c r="L236" s="3">
        <f>IFERROR(INDEX('CHIRP Payment Calc'!K:K,MATCH(A:A,'CHIRP Payment Calc'!A:A,0)),0)</f>
        <v>27235039.209820196</v>
      </c>
      <c r="M236" s="3">
        <f t="shared" si="9"/>
        <v>-10009173.918162793</v>
      </c>
    </row>
    <row r="237" spans="1:13">
      <c r="A237" s="9" t="s">
        <v>401</v>
      </c>
      <c r="B237" s="9" t="s">
        <v>1514</v>
      </c>
      <c r="C237" s="9" t="s">
        <v>222</v>
      </c>
      <c r="D237" s="4" t="s">
        <v>402</v>
      </c>
      <c r="E237" s="14" t="s">
        <v>402</v>
      </c>
      <c r="F237" s="14" t="s">
        <v>403</v>
      </c>
      <c r="G237" s="14" t="s">
        <v>401</v>
      </c>
      <c r="H237" s="9" t="s">
        <v>2046</v>
      </c>
      <c r="I237" s="3">
        <v>0</v>
      </c>
      <c r="J237" s="3">
        <v>0</v>
      </c>
      <c r="K237" s="3">
        <f t="shared" si="8"/>
        <v>0</v>
      </c>
      <c r="L237" s="3">
        <f>IFERROR(INDEX('CHIRP Payment Calc'!K:K,MATCH(A:A,'CHIRP Payment Calc'!A:A,0)),0)</f>
        <v>0</v>
      </c>
      <c r="M237" s="3">
        <f t="shared" si="9"/>
        <v>0</v>
      </c>
    </row>
    <row r="238" spans="1:13">
      <c r="A238" s="9" t="s">
        <v>641</v>
      </c>
      <c r="B238" s="9" t="s">
        <v>1514</v>
      </c>
      <c r="C238" s="9" t="s">
        <v>222</v>
      </c>
      <c r="D238" s="4" t="s">
        <v>642</v>
      </c>
      <c r="E238" s="14" t="s">
        <v>642</v>
      </c>
      <c r="F238" s="14" t="s">
        <v>643</v>
      </c>
      <c r="G238" s="14" t="s">
        <v>641</v>
      </c>
      <c r="H238" s="9" t="s">
        <v>2045</v>
      </c>
      <c r="I238" s="3">
        <v>16908261.350439269</v>
      </c>
      <c r="J238" s="3">
        <v>3705384.6189447083</v>
      </c>
      <c r="K238" s="3">
        <f t="shared" si="8"/>
        <v>20613645.969383977</v>
      </c>
      <c r="L238" s="3">
        <f>IFERROR(INDEX('CHIRP Payment Calc'!K:K,MATCH(A:A,'CHIRP Payment Calc'!A:A,0)),0)</f>
        <v>30459875.939677529</v>
      </c>
      <c r="M238" s="3">
        <f t="shared" si="9"/>
        <v>-9846229.9702935517</v>
      </c>
    </row>
    <row r="239" spans="1:13">
      <c r="A239" s="9" t="s">
        <v>2043</v>
      </c>
      <c r="B239" s="9" t="s">
        <v>1514</v>
      </c>
      <c r="C239" s="9" t="s">
        <v>222</v>
      </c>
      <c r="D239" s="4" t="s">
        <v>2044</v>
      </c>
      <c r="E239" s="14" t="s">
        <v>2044</v>
      </c>
      <c r="F239" s="14" t="e">
        <v>#N/A</v>
      </c>
      <c r="G239" s="14" t="s">
        <v>2043</v>
      </c>
      <c r="H239" s="9" t="s">
        <v>2042</v>
      </c>
      <c r="I239" s="3">
        <v>0</v>
      </c>
      <c r="J239" s="3">
        <v>0</v>
      </c>
      <c r="K239" s="3">
        <f t="shared" si="8"/>
        <v>0</v>
      </c>
      <c r="L239" s="3">
        <f>IFERROR(INDEX('CHIRP Payment Calc'!K:K,MATCH(A:A,'CHIRP Payment Calc'!A:A,0)),0)</f>
        <v>0</v>
      </c>
      <c r="M239" s="3">
        <f t="shared" si="9"/>
        <v>0</v>
      </c>
    </row>
    <row r="240" spans="1:13">
      <c r="A240" s="9" t="s">
        <v>1468</v>
      </c>
      <c r="B240" s="9" t="s">
        <v>1514</v>
      </c>
      <c r="C240" s="9" t="s">
        <v>222</v>
      </c>
      <c r="D240" s="4" t="s">
        <v>1469</v>
      </c>
      <c r="E240" s="14" t="s">
        <v>1469</v>
      </c>
      <c r="F240" s="14" t="s">
        <v>1470</v>
      </c>
      <c r="G240" s="14" t="s">
        <v>1468</v>
      </c>
      <c r="H240" s="9" t="s">
        <v>2041</v>
      </c>
      <c r="I240" s="3">
        <v>0</v>
      </c>
      <c r="J240" s="3">
        <v>0</v>
      </c>
      <c r="K240" s="3">
        <f t="shared" si="8"/>
        <v>0</v>
      </c>
      <c r="L240" s="3">
        <f>IFERROR(INDEX('CHIRP Payment Calc'!K:K,MATCH(A:A,'CHIRP Payment Calc'!A:A,0)),0)</f>
        <v>0</v>
      </c>
      <c r="M240" s="3">
        <f t="shared" si="9"/>
        <v>0</v>
      </c>
    </row>
    <row r="241" spans="1:13">
      <c r="A241" s="9" t="s">
        <v>581</v>
      </c>
      <c r="B241" s="9" t="s">
        <v>1514</v>
      </c>
      <c r="C241" s="9" t="s">
        <v>222</v>
      </c>
      <c r="D241" s="4" t="s">
        <v>582</v>
      </c>
      <c r="E241" s="14" t="s">
        <v>582</v>
      </c>
      <c r="F241" s="14" t="s">
        <v>583</v>
      </c>
      <c r="G241" s="14" t="s">
        <v>581</v>
      </c>
      <c r="H241" s="9" t="s">
        <v>2040</v>
      </c>
      <c r="I241" s="3">
        <v>0</v>
      </c>
      <c r="J241" s="3">
        <v>0</v>
      </c>
      <c r="K241" s="3">
        <f t="shared" si="8"/>
        <v>0</v>
      </c>
      <c r="L241" s="3">
        <f>IFERROR(INDEX('CHIRP Payment Calc'!K:K,MATCH(A:A,'CHIRP Payment Calc'!A:A,0)),0)</f>
        <v>0</v>
      </c>
      <c r="M241" s="3">
        <f t="shared" si="9"/>
        <v>0</v>
      </c>
    </row>
    <row r="242" spans="1:13">
      <c r="A242" s="9" t="s">
        <v>1551</v>
      </c>
      <c r="B242" s="9" t="s">
        <v>1514</v>
      </c>
      <c r="C242" s="9" t="s">
        <v>222</v>
      </c>
      <c r="D242" s="4" t="s">
        <v>1613</v>
      </c>
      <c r="E242" s="14" t="s">
        <v>1613</v>
      </c>
      <c r="F242" s="14" t="s">
        <v>446</v>
      </c>
      <c r="G242" s="14" t="s">
        <v>1551</v>
      </c>
      <c r="H242" s="9" t="s">
        <v>1612</v>
      </c>
      <c r="I242" s="3">
        <v>29488558.221703362</v>
      </c>
      <c r="J242" s="3">
        <v>7148010.3231121683</v>
      </c>
      <c r="K242" s="3">
        <f t="shared" si="8"/>
        <v>36636568.544815533</v>
      </c>
      <c r="L242" s="3">
        <f>IFERROR(INDEX('CHIRP Payment Calc'!K:K,MATCH(A:A,'CHIRP Payment Calc'!A:A,0)),0)</f>
        <v>49495037.938276231</v>
      </c>
      <c r="M242" s="3">
        <f t="shared" si="9"/>
        <v>-12858469.393460698</v>
      </c>
    </row>
    <row r="243" spans="1:13">
      <c r="A243" s="9" t="s">
        <v>774</v>
      </c>
      <c r="B243" s="9" t="s">
        <v>1514</v>
      </c>
      <c r="C243" s="9" t="s">
        <v>222</v>
      </c>
      <c r="D243" s="4" t="s">
        <v>775</v>
      </c>
      <c r="E243" s="14" t="s">
        <v>775</v>
      </c>
      <c r="F243" s="14" t="s">
        <v>776</v>
      </c>
      <c r="G243" s="14" t="s">
        <v>774</v>
      </c>
      <c r="H243" s="9" t="s">
        <v>1674</v>
      </c>
      <c r="I243" s="3">
        <v>6655921.2589496849</v>
      </c>
      <c r="J243" s="3">
        <v>2455351.6669772677</v>
      </c>
      <c r="K243" s="3">
        <f t="shared" si="8"/>
        <v>9111272.9259269536</v>
      </c>
      <c r="L243" s="3">
        <f>IFERROR(INDEX('CHIRP Payment Calc'!K:K,MATCH(A:A,'CHIRP Payment Calc'!A:A,0)),0)</f>
        <v>13058361.746101936</v>
      </c>
      <c r="M243" s="3">
        <f t="shared" si="9"/>
        <v>-3947088.8201749828</v>
      </c>
    </row>
    <row r="244" spans="1:13">
      <c r="A244" s="9" t="s">
        <v>162</v>
      </c>
      <c r="B244" s="9" t="s">
        <v>1514</v>
      </c>
      <c r="C244" s="9" t="s">
        <v>222</v>
      </c>
      <c r="D244" s="4" t="s">
        <v>163</v>
      </c>
      <c r="E244" s="14" t="s">
        <v>163</v>
      </c>
      <c r="F244" s="14" t="s">
        <v>164</v>
      </c>
      <c r="G244" s="14" t="s">
        <v>162</v>
      </c>
      <c r="H244" s="9" t="s">
        <v>2039</v>
      </c>
      <c r="I244" s="3">
        <v>3263044.5309617189</v>
      </c>
      <c r="J244" s="3">
        <v>1621060.5546002525</v>
      </c>
      <c r="K244" s="3">
        <f t="shared" si="8"/>
        <v>4884105.0855619712</v>
      </c>
      <c r="L244" s="3">
        <f>IFERROR(INDEX('CHIRP Payment Calc'!K:K,MATCH(A:A,'CHIRP Payment Calc'!A:A,0)),0)</f>
        <v>6265701.4437333904</v>
      </c>
      <c r="M244" s="3">
        <f t="shared" si="9"/>
        <v>-1381596.3581714192</v>
      </c>
    </row>
    <row r="245" spans="1:13">
      <c r="A245" s="9" t="s">
        <v>515</v>
      </c>
      <c r="B245" s="9" t="s">
        <v>1514</v>
      </c>
      <c r="C245" s="9" t="s">
        <v>1479</v>
      </c>
      <c r="D245" s="4" t="s">
        <v>516</v>
      </c>
      <c r="E245" s="14" t="s">
        <v>516</v>
      </c>
      <c r="F245" s="14" t="s">
        <v>517</v>
      </c>
      <c r="G245" s="14" t="s">
        <v>515</v>
      </c>
      <c r="H245" s="9" t="s">
        <v>2038</v>
      </c>
      <c r="I245" s="3">
        <v>5726024.1782649094</v>
      </c>
      <c r="J245" s="3">
        <v>1591247.5869653097</v>
      </c>
      <c r="K245" s="3">
        <f t="shared" si="8"/>
        <v>7317271.7652302189</v>
      </c>
      <c r="L245" s="3">
        <f>IFERROR(INDEX('CHIRP Payment Calc'!K:K,MATCH(A:A,'CHIRP Payment Calc'!A:A,0)),0)</f>
        <v>14378192.105436038</v>
      </c>
      <c r="M245" s="3">
        <f t="shared" si="9"/>
        <v>-7060920.3402058193</v>
      </c>
    </row>
    <row r="246" spans="1:13">
      <c r="A246" s="9" t="s">
        <v>1053</v>
      </c>
      <c r="B246" s="9" t="s">
        <v>1514</v>
      </c>
      <c r="C246" s="9" t="s">
        <v>1545</v>
      </c>
      <c r="D246" s="4" t="s">
        <v>1054</v>
      </c>
      <c r="E246" s="14" t="s">
        <v>1054</v>
      </c>
      <c r="F246" s="14" t="s">
        <v>1055</v>
      </c>
      <c r="G246" s="14" t="s">
        <v>1053</v>
      </c>
      <c r="H246" s="9" t="s">
        <v>1605</v>
      </c>
      <c r="I246" s="3">
        <v>2118808.9042169354</v>
      </c>
      <c r="J246" s="3">
        <v>941849.48149029072</v>
      </c>
      <c r="K246" s="3">
        <f t="shared" si="8"/>
        <v>3060658.3857072261</v>
      </c>
      <c r="L246" s="3">
        <f>IFERROR(INDEX('CHIRP Payment Calc'!K:K,MATCH(A:A,'CHIRP Payment Calc'!A:A,0)),0)</f>
        <v>4554457.1486314777</v>
      </c>
      <c r="M246" s="3">
        <f t="shared" si="9"/>
        <v>-1493798.7629242516</v>
      </c>
    </row>
    <row r="247" spans="1:13">
      <c r="A247" s="9" t="s">
        <v>503</v>
      </c>
      <c r="B247" s="9" t="s">
        <v>1550</v>
      </c>
      <c r="C247" s="9" t="s">
        <v>222</v>
      </c>
      <c r="D247" s="4" t="s">
        <v>504</v>
      </c>
      <c r="E247" s="14" t="s">
        <v>504</v>
      </c>
      <c r="F247" s="14" t="s">
        <v>505</v>
      </c>
      <c r="G247" s="14" t="s">
        <v>503</v>
      </c>
      <c r="H247" s="9" t="s">
        <v>2037</v>
      </c>
      <c r="I247" s="3">
        <v>5370363.790272749</v>
      </c>
      <c r="J247" s="3">
        <v>5316203.1325778151</v>
      </c>
      <c r="K247" s="3">
        <f t="shared" si="8"/>
        <v>10686566.922850564</v>
      </c>
      <c r="L247" s="3">
        <f>IFERROR(INDEX('CHIRP Payment Calc'!K:K,MATCH(A:A,'CHIRP Payment Calc'!A:A,0)),0)</f>
        <v>15461465.042190323</v>
      </c>
      <c r="M247" s="3">
        <f t="shared" si="9"/>
        <v>-4774898.1193397585</v>
      </c>
    </row>
    <row r="248" spans="1:13">
      <c r="A248" s="9" t="s">
        <v>1400</v>
      </c>
      <c r="B248" s="9" t="s">
        <v>1550</v>
      </c>
      <c r="C248" s="9" t="s">
        <v>222</v>
      </c>
      <c r="D248" s="4" t="s">
        <v>1401</v>
      </c>
      <c r="E248" s="14" t="s">
        <v>1401</v>
      </c>
      <c r="F248" s="14" t="s">
        <v>1402</v>
      </c>
      <c r="G248" s="14" t="s">
        <v>1400</v>
      </c>
      <c r="H248" s="9" t="s">
        <v>1719</v>
      </c>
      <c r="I248" s="3">
        <v>14948.657494126603</v>
      </c>
      <c r="J248" s="3">
        <v>27596.097755067505</v>
      </c>
      <c r="K248" s="3">
        <f t="shared" si="8"/>
        <v>42544.75524919411</v>
      </c>
      <c r="L248" s="3">
        <f>IFERROR(INDEX('CHIRP Payment Calc'!K:K,MATCH(A:A,'CHIRP Payment Calc'!A:A,0)),0)</f>
        <v>0</v>
      </c>
      <c r="M248" s="3">
        <f t="shared" si="9"/>
        <v>42544.75524919411</v>
      </c>
    </row>
    <row r="249" spans="1:13">
      <c r="A249" s="9" t="s">
        <v>2332</v>
      </c>
      <c r="B249" s="9" t="s">
        <v>1550</v>
      </c>
      <c r="C249" s="9" t="s">
        <v>222</v>
      </c>
      <c r="D249" s="4" t="s">
        <v>1166</v>
      </c>
      <c r="E249" s="14" t="s">
        <v>1166</v>
      </c>
      <c r="F249" s="14" t="s">
        <v>1167</v>
      </c>
      <c r="G249" s="14" t="s">
        <v>1165</v>
      </c>
      <c r="H249" s="9" t="s">
        <v>2036</v>
      </c>
      <c r="I249" s="3">
        <v>585353.60895941593</v>
      </c>
      <c r="J249" s="3">
        <v>1178913.8869824535</v>
      </c>
      <c r="K249" s="3">
        <f t="shared" si="8"/>
        <v>1764267.4959418694</v>
      </c>
      <c r="L249" s="3">
        <f>IFERROR(INDEX('CHIRP Payment Calc'!K:K,MATCH(A:A,'CHIRP Payment Calc'!A:A,0)),0)</f>
        <v>1644697.3979785128</v>
      </c>
      <c r="M249" s="3">
        <f t="shared" si="9"/>
        <v>119570.09796335665</v>
      </c>
    </row>
    <row r="250" spans="1:13">
      <c r="A250" s="9" t="s">
        <v>285</v>
      </c>
      <c r="B250" s="9" t="s">
        <v>1550</v>
      </c>
      <c r="C250" s="9" t="s">
        <v>222</v>
      </c>
      <c r="D250" s="4" t="s">
        <v>286</v>
      </c>
      <c r="E250" s="14" t="s">
        <v>286</v>
      </c>
      <c r="F250" s="14" t="s">
        <v>287</v>
      </c>
      <c r="G250" s="14" t="s">
        <v>285</v>
      </c>
      <c r="H250" s="9" t="s">
        <v>2035</v>
      </c>
      <c r="I250" s="3">
        <v>0</v>
      </c>
      <c r="J250" s="3">
        <v>0</v>
      </c>
      <c r="K250" s="3">
        <f t="shared" si="8"/>
        <v>0</v>
      </c>
      <c r="L250" s="3">
        <f>IFERROR(INDEX('CHIRP Payment Calc'!K:K,MATCH(A:A,'CHIRP Payment Calc'!A:A,0)),0)</f>
        <v>0</v>
      </c>
      <c r="M250" s="3">
        <f t="shared" si="9"/>
        <v>0</v>
      </c>
    </row>
    <row r="251" spans="1:13">
      <c r="A251" s="9" t="s">
        <v>593</v>
      </c>
      <c r="B251" s="9" t="s">
        <v>1550</v>
      </c>
      <c r="C251" s="9" t="s">
        <v>222</v>
      </c>
      <c r="D251" s="4" t="s">
        <v>594</v>
      </c>
      <c r="E251" s="14" t="s">
        <v>594</v>
      </c>
      <c r="F251" s="14" t="s">
        <v>595</v>
      </c>
      <c r="G251" s="14" t="s">
        <v>593</v>
      </c>
      <c r="H251" s="9" t="s">
        <v>2034</v>
      </c>
      <c r="I251" s="3">
        <v>5761256.2217080472</v>
      </c>
      <c r="J251" s="3">
        <v>6594067.2627158808</v>
      </c>
      <c r="K251" s="3">
        <f t="shared" si="8"/>
        <v>12355323.484423928</v>
      </c>
      <c r="L251" s="3">
        <f>IFERROR(INDEX('CHIRP Payment Calc'!K:K,MATCH(A:A,'CHIRP Payment Calc'!A:A,0)),0)</f>
        <v>20110777.441735931</v>
      </c>
      <c r="M251" s="3">
        <f t="shared" si="9"/>
        <v>-7755453.9573120028</v>
      </c>
    </row>
    <row r="252" spans="1:13">
      <c r="A252" s="9" t="s">
        <v>1487</v>
      </c>
      <c r="B252" s="9" t="s">
        <v>1550</v>
      </c>
      <c r="C252" s="9" t="s">
        <v>222</v>
      </c>
      <c r="D252" s="4" t="s">
        <v>1488</v>
      </c>
      <c r="E252" s="14" t="s">
        <v>1488</v>
      </c>
      <c r="F252" s="14" t="s">
        <v>1489</v>
      </c>
      <c r="G252" s="14" t="s">
        <v>1487</v>
      </c>
      <c r="H252" s="9" t="s">
        <v>2033</v>
      </c>
      <c r="I252" s="3">
        <v>2949.3754594370457</v>
      </c>
      <c r="J252" s="3">
        <v>0</v>
      </c>
      <c r="K252" s="3">
        <f t="shared" si="8"/>
        <v>2949.3754594370457</v>
      </c>
      <c r="L252" s="3">
        <f>IFERROR(INDEX('CHIRP Payment Calc'!K:K,MATCH(A:A,'CHIRP Payment Calc'!A:A,0)),0)</f>
        <v>0</v>
      </c>
      <c r="M252" s="3">
        <f t="shared" si="9"/>
        <v>2949.3754594370457</v>
      </c>
    </row>
    <row r="253" spans="1:13">
      <c r="A253" s="9" t="s">
        <v>1134</v>
      </c>
      <c r="B253" s="9" t="s">
        <v>1550</v>
      </c>
      <c r="C253" s="9" t="s">
        <v>222</v>
      </c>
      <c r="D253" s="4" t="s">
        <v>1135</v>
      </c>
      <c r="E253" s="14" t="s">
        <v>1135</v>
      </c>
      <c r="F253" s="14" t="s">
        <v>1136</v>
      </c>
      <c r="G253" s="14" t="s">
        <v>1134</v>
      </c>
      <c r="H253" s="9" t="s">
        <v>2032</v>
      </c>
      <c r="I253" s="3">
        <v>2690703.1991451136</v>
      </c>
      <c r="J253" s="3">
        <v>2637143.3503143159</v>
      </c>
      <c r="K253" s="3">
        <f t="shared" si="8"/>
        <v>5327846.5494594295</v>
      </c>
      <c r="L253" s="3">
        <f>IFERROR(INDEX('CHIRP Payment Calc'!K:K,MATCH(A:A,'CHIRP Payment Calc'!A:A,0)),0)</f>
        <v>9538282.7002352607</v>
      </c>
      <c r="M253" s="3">
        <f t="shared" si="9"/>
        <v>-4210436.1507758312</v>
      </c>
    </row>
    <row r="254" spans="1:13">
      <c r="A254" s="9" t="s">
        <v>234</v>
      </c>
      <c r="B254" s="9" t="s">
        <v>1550</v>
      </c>
      <c r="C254" s="9" t="s">
        <v>222</v>
      </c>
      <c r="D254" s="4" t="s">
        <v>235</v>
      </c>
      <c r="E254" s="14" t="s">
        <v>235</v>
      </c>
      <c r="F254" s="14" t="s">
        <v>236</v>
      </c>
      <c r="G254" s="14" t="s">
        <v>234</v>
      </c>
      <c r="H254" s="9" t="s">
        <v>2031</v>
      </c>
      <c r="I254" s="3">
        <v>0</v>
      </c>
      <c r="J254" s="3">
        <v>0</v>
      </c>
      <c r="K254" s="3">
        <f t="shared" si="8"/>
        <v>0</v>
      </c>
      <c r="L254" s="3">
        <f>IFERROR(INDEX('CHIRP Payment Calc'!K:K,MATCH(A:A,'CHIRP Payment Calc'!A:A,0)),0)</f>
        <v>0</v>
      </c>
      <c r="M254" s="3">
        <f t="shared" si="9"/>
        <v>0</v>
      </c>
    </row>
    <row r="255" spans="1:13">
      <c r="A255" s="9" t="s">
        <v>129</v>
      </c>
      <c r="B255" s="9" t="s">
        <v>1550</v>
      </c>
      <c r="C255" s="9" t="s">
        <v>222</v>
      </c>
      <c r="D255" s="4" t="s">
        <v>130</v>
      </c>
      <c r="E255" s="14" t="s">
        <v>130</v>
      </c>
      <c r="F255" s="14" t="s">
        <v>131</v>
      </c>
      <c r="G255" s="14" t="s">
        <v>129</v>
      </c>
      <c r="H255" s="9" t="s">
        <v>2030</v>
      </c>
      <c r="I255" s="3">
        <v>0</v>
      </c>
      <c r="J255" s="3">
        <v>0</v>
      </c>
      <c r="K255" s="3">
        <f t="shared" si="8"/>
        <v>0</v>
      </c>
      <c r="L255" s="3">
        <f>IFERROR(INDEX('CHIRP Payment Calc'!K:K,MATCH(A:A,'CHIRP Payment Calc'!A:A,0)),0)</f>
        <v>0</v>
      </c>
      <c r="M255" s="3">
        <f t="shared" si="9"/>
        <v>0</v>
      </c>
    </row>
    <row r="256" spans="1:13">
      <c r="A256" s="9" t="s">
        <v>1174</v>
      </c>
      <c r="B256" s="9" t="s">
        <v>1550</v>
      </c>
      <c r="C256" s="9" t="s">
        <v>1479</v>
      </c>
      <c r="D256" s="4" t="s">
        <v>1175</v>
      </c>
      <c r="E256" s="14" t="s">
        <v>1175</v>
      </c>
      <c r="F256" s="14" t="s">
        <v>1176</v>
      </c>
      <c r="G256" s="14" t="s">
        <v>1174</v>
      </c>
      <c r="H256" s="9" t="s">
        <v>1574</v>
      </c>
      <c r="I256" s="3">
        <v>137630.839234443</v>
      </c>
      <c r="J256" s="3">
        <v>92469.702972205298</v>
      </c>
      <c r="K256" s="3">
        <f t="shared" si="8"/>
        <v>230100.5422066483</v>
      </c>
      <c r="L256" s="3">
        <f>IFERROR(INDEX('CHIRP Payment Calc'!K:K,MATCH(A:A,'CHIRP Payment Calc'!A:A,0)),0)</f>
        <v>0</v>
      </c>
      <c r="M256" s="3">
        <f t="shared" si="9"/>
        <v>230100.5422066483</v>
      </c>
    </row>
    <row r="257" spans="1:13">
      <c r="A257" s="9" t="s">
        <v>599</v>
      </c>
      <c r="B257" s="9" t="s">
        <v>1550</v>
      </c>
      <c r="C257" s="9" t="s">
        <v>1479</v>
      </c>
      <c r="D257" s="4" t="s">
        <v>600</v>
      </c>
      <c r="E257" s="14" t="s">
        <v>600</v>
      </c>
      <c r="F257" s="14" t="s">
        <v>601</v>
      </c>
      <c r="G257" s="14" t="s">
        <v>599</v>
      </c>
      <c r="H257" s="9" t="s">
        <v>2029</v>
      </c>
      <c r="I257" s="3">
        <v>1270042.5242503725</v>
      </c>
      <c r="J257" s="3">
        <v>1180577.4188254024</v>
      </c>
      <c r="K257" s="3">
        <f t="shared" si="8"/>
        <v>2450619.9430757752</v>
      </c>
      <c r="L257" s="3">
        <f>IFERROR(INDEX('CHIRP Payment Calc'!K:K,MATCH(A:A,'CHIRP Payment Calc'!A:A,0)),0)</f>
        <v>3079656.8722356753</v>
      </c>
      <c r="M257" s="3">
        <f t="shared" si="9"/>
        <v>-629036.92915990017</v>
      </c>
    </row>
    <row r="258" spans="1:13">
      <c r="A258" s="9" t="s">
        <v>847</v>
      </c>
      <c r="B258" s="9" t="s">
        <v>1550</v>
      </c>
      <c r="C258" s="9" t="s">
        <v>1479</v>
      </c>
      <c r="D258" s="4" t="s">
        <v>848</v>
      </c>
      <c r="E258" s="14" t="s">
        <v>848</v>
      </c>
      <c r="F258" s="14" t="s">
        <v>849</v>
      </c>
      <c r="G258" s="14" t="s">
        <v>847</v>
      </c>
      <c r="H258" s="9" t="s">
        <v>2028</v>
      </c>
      <c r="I258" s="3">
        <v>2246166.3920912468</v>
      </c>
      <c r="J258" s="3">
        <v>2037000.0258516271</v>
      </c>
      <c r="K258" s="3">
        <f t="shared" si="8"/>
        <v>4283166.4179428741</v>
      </c>
      <c r="L258" s="3">
        <f>IFERROR(INDEX('CHIRP Payment Calc'!K:K,MATCH(A:A,'CHIRP Payment Calc'!A:A,0)),0)</f>
        <v>8696475.3982971609</v>
      </c>
      <c r="M258" s="3">
        <f t="shared" si="9"/>
        <v>-4413308.9803542867</v>
      </c>
    </row>
    <row r="259" spans="1:13">
      <c r="A259" s="9" t="s">
        <v>947</v>
      </c>
      <c r="B259" s="9" t="s">
        <v>1550</v>
      </c>
      <c r="C259" s="9" t="s">
        <v>1479</v>
      </c>
      <c r="D259" s="4" t="s">
        <v>948</v>
      </c>
      <c r="E259" s="14" t="s">
        <v>948</v>
      </c>
      <c r="F259" s="14" t="s">
        <v>949</v>
      </c>
      <c r="G259" s="14" t="s">
        <v>947</v>
      </c>
      <c r="H259" s="9" t="s">
        <v>2027</v>
      </c>
      <c r="I259" s="3">
        <v>0</v>
      </c>
      <c r="J259" s="3">
        <v>0</v>
      </c>
      <c r="K259" s="3">
        <f t="shared" si="8"/>
        <v>0</v>
      </c>
      <c r="L259" s="3">
        <f>IFERROR(INDEX('CHIRP Payment Calc'!K:K,MATCH(A:A,'CHIRP Payment Calc'!A:A,0)),0)</f>
        <v>0</v>
      </c>
      <c r="M259" s="3">
        <f t="shared" si="9"/>
        <v>0</v>
      </c>
    </row>
    <row r="260" spans="1:13">
      <c r="A260" s="9" t="s">
        <v>798</v>
      </c>
      <c r="B260" s="9" t="s">
        <v>1550</v>
      </c>
      <c r="C260" s="9" t="s">
        <v>1545</v>
      </c>
      <c r="D260" s="4" t="s">
        <v>799</v>
      </c>
      <c r="E260" s="14" t="s">
        <v>799</v>
      </c>
      <c r="F260" s="14" t="s">
        <v>800</v>
      </c>
      <c r="G260" s="14" t="s">
        <v>798</v>
      </c>
      <c r="H260" s="9" t="s">
        <v>2026</v>
      </c>
      <c r="I260" s="3">
        <v>212261.82937096051</v>
      </c>
      <c r="J260" s="3">
        <v>193255.72247560305</v>
      </c>
      <c r="K260" s="3">
        <f t="shared" si="8"/>
        <v>405517.55184656358</v>
      </c>
      <c r="L260" s="3">
        <f>IFERROR(INDEX('CHIRP Payment Calc'!K:K,MATCH(A:A,'CHIRP Payment Calc'!A:A,0)),0)</f>
        <v>668915.52299590863</v>
      </c>
      <c r="M260" s="3">
        <f t="shared" si="9"/>
        <v>-263397.97114934504</v>
      </c>
    </row>
    <row r="261" spans="1:13">
      <c r="A261" s="9" t="s">
        <v>527</v>
      </c>
      <c r="B261" s="9" t="s">
        <v>1550</v>
      </c>
      <c r="C261" s="9" t="s">
        <v>1545</v>
      </c>
      <c r="D261" s="4" t="s">
        <v>528</v>
      </c>
      <c r="E261" s="14" t="s">
        <v>528</v>
      </c>
      <c r="F261" s="14" t="s">
        <v>529</v>
      </c>
      <c r="G261" s="14" t="s">
        <v>527</v>
      </c>
      <c r="H261" s="9" t="s">
        <v>2025</v>
      </c>
      <c r="I261" s="3">
        <v>214772.21566972978</v>
      </c>
      <c r="J261" s="3">
        <v>139591.97792752474</v>
      </c>
      <c r="K261" s="3">
        <f t="shared" si="8"/>
        <v>354364.19359725452</v>
      </c>
      <c r="L261" s="3">
        <f>IFERROR(INDEX('CHIRP Payment Calc'!K:K,MATCH(A:A,'CHIRP Payment Calc'!A:A,0)),0)</f>
        <v>615282.68885289249</v>
      </c>
      <c r="M261" s="3">
        <f t="shared" si="9"/>
        <v>-260918.49525563797</v>
      </c>
    </row>
    <row r="262" spans="1:13">
      <c r="A262" s="9" t="s">
        <v>1149</v>
      </c>
      <c r="B262" s="9" t="s">
        <v>1550</v>
      </c>
      <c r="C262" s="9" t="s">
        <v>1545</v>
      </c>
      <c r="D262" s="4" t="s">
        <v>1150</v>
      </c>
      <c r="E262" s="14" t="s">
        <v>1150</v>
      </c>
      <c r="F262" s="14" t="s">
        <v>1151</v>
      </c>
      <c r="G262" s="14" t="s">
        <v>1149</v>
      </c>
      <c r="H262" s="9" t="s">
        <v>1591</v>
      </c>
      <c r="I262" s="3">
        <v>150205.74164126915</v>
      </c>
      <c r="J262" s="3">
        <v>107094.98298594289</v>
      </c>
      <c r="K262" s="3">
        <f t="shared" si="8"/>
        <v>257300.72462721204</v>
      </c>
      <c r="L262" s="3">
        <f>IFERROR(INDEX('CHIRP Payment Calc'!K:K,MATCH(A:A,'CHIRP Payment Calc'!A:A,0)),0)</f>
        <v>0</v>
      </c>
      <c r="M262" s="3">
        <f t="shared" si="9"/>
        <v>257300.72462721204</v>
      </c>
    </row>
    <row r="263" spans="1:13">
      <c r="A263" s="9" t="s">
        <v>883</v>
      </c>
      <c r="B263" s="9" t="s">
        <v>1526</v>
      </c>
      <c r="C263" s="9" t="s">
        <v>1594</v>
      </c>
      <c r="D263" s="4" t="s">
        <v>884</v>
      </c>
      <c r="E263" s="14" t="s">
        <v>884</v>
      </c>
      <c r="F263" s="14" t="s">
        <v>885</v>
      </c>
      <c r="G263" s="14" t="s">
        <v>883</v>
      </c>
      <c r="H263" s="9" t="s">
        <v>2024</v>
      </c>
      <c r="I263" s="3">
        <v>34327999.300322428</v>
      </c>
      <c r="J263" s="3">
        <v>1970401.4164140641</v>
      </c>
      <c r="K263" s="3">
        <f t="shared" si="8"/>
        <v>36298400.716736495</v>
      </c>
      <c r="L263" s="3">
        <f>IFERROR(INDEX('CHIRP Payment Calc'!K:K,MATCH(A:A,'CHIRP Payment Calc'!A:A,0)),0)</f>
        <v>46084581.746431351</v>
      </c>
      <c r="M263" s="3">
        <f t="shared" si="9"/>
        <v>-9786181.0296948552</v>
      </c>
    </row>
    <row r="264" spans="1:13">
      <c r="A264" s="9" t="s">
        <v>1471</v>
      </c>
      <c r="C264" s="9" t="s">
        <v>222</v>
      </c>
      <c r="D264" s="4" t="s">
        <v>1472</v>
      </c>
      <c r="E264" s="14" t="e">
        <v>#N/A</v>
      </c>
      <c r="F264" s="14" t="e">
        <v>#N/A</v>
      </c>
      <c r="G264" s="14" t="e">
        <v>#N/A</v>
      </c>
      <c r="H264" s="9" t="s">
        <v>1473</v>
      </c>
      <c r="I264" s="3">
        <v>81056.034442114556</v>
      </c>
      <c r="J264" s="3">
        <v>95693.118134960809</v>
      </c>
      <c r="K264" s="3">
        <f t="shared" ref="K264:K327" si="10">I264+J264</f>
        <v>176749.15257707535</v>
      </c>
      <c r="L264" s="3">
        <f>IFERROR(INDEX('CHIRP Payment Calc'!K:K,MATCH(A:A,'CHIRP Payment Calc'!A:A,0)),0)</f>
        <v>388308.07971301861</v>
      </c>
      <c r="M264" s="3">
        <f t="shared" ref="M264:M327" si="11">K264-L264</f>
        <v>-211558.92713594326</v>
      </c>
    </row>
    <row r="265" spans="1:13">
      <c r="A265" s="9" t="s">
        <v>91</v>
      </c>
      <c r="B265" s="9" t="s">
        <v>1526</v>
      </c>
      <c r="C265" s="9" t="s">
        <v>222</v>
      </c>
      <c r="D265" s="4" t="s">
        <v>92</v>
      </c>
      <c r="E265" s="14" t="s">
        <v>92</v>
      </c>
      <c r="F265" s="14" t="s">
        <v>93</v>
      </c>
      <c r="G265" s="14" t="s">
        <v>91</v>
      </c>
      <c r="H265" s="9" t="s">
        <v>2022</v>
      </c>
      <c r="I265" s="3">
        <v>29584.910272892623</v>
      </c>
      <c r="J265" s="3">
        <v>0</v>
      </c>
      <c r="K265" s="3">
        <f t="shared" si="10"/>
        <v>29584.910272892623</v>
      </c>
      <c r="L265" s="3">
        <f>IFERROR(INDEX('CHIRP Payment Calc'!K:K,MATCH(A:A,'CHIRP Payment Calc'!A:A,0)),0)</f>
        <v>0</v>
      </c>
      <c r="M265" s="3">
        <f t="shared" si="11"/>
        <v>29584.910272892623</v>
      </c>
    </row>
    <row r="266" spans="1:13">
      <c r="A266" s="9" t="s">
        <v>474</v>
      </c>
      <c r="B266" s="9" t="s">
        <v>1526</v>
      </c>
      <c r="C266" s="9" t="s">
        <v>222</v>
      </c>
      <c r="D266" s="4" t="s">
        <v>475</v>
      </c>
      <c r="E266" s="14" t="s">
        <v>475</v>
      </c>
      <c r="F266" s="14" t="s">
        <v>476</v>
      </c>
      <c r="G266" s="14" t="s">
        <v>474</v>
      </c>
      <c r="H266" s="9" t="s">
        <v>2021</v>
      </c>
      <c r="I266" s="3">
        <v>0</v>
      </c>
      <c r="J266" s="3">
        <v>0</v>
      </c>
      <c r="K266" s="3">
        <f t="shared" si="10"/>
        <v>0</v>
      </c>
      <c r="L266" s="3">
        <f>IFERROR(INDEX('CHIRP Payment Calc'!K:K,MATCH(A:A,'CHIRP Payment Calc'!A:A,0)),0)</f>
        <v>0</v>
      </c>
      <c r="M266" s="3">
        <f t="shared" si="11"/>
        <v>0</v>
      </c>
    </row>
    <row r="267" spans="1:13">
      <c r="A267" s="9" t="s">
        <v>810</v>
      </c>
      <c r="B267" s="9" t="s">
        <v>1526</v>
      </c>
      <c r="C267" s="9" t="s">
        <v>222</v>
      </c>
      <c r="D267" s="4" t="s">
        <v>811</v>
      </c>
      <c r="E267" s="14" t="s">
        <v>811</v>
      </c>
      <c r="F267" s="14" t="s">
        <v>812</v>
      </c>
      <c r="G267" s="14" t="s">
        <v>810</v>
      </c>
      <c r="H267" s="9" t="s">
        <v>2020</v>
      </c>
      <c r="I267" s="3">
        <v>308396.68238806044</v>
      </c>
      <c r="J267" s="3">
        <v>191932.60202303651</v>
      </c>
      <c r="K267" s="3">
        <f t="shared" si="10"/>
        <v>500329.28441109695</v>
      </c>
      <c r="L267" s="3">
        <f>IFERROR(INDEX('CHIRP Payment Calc'!K:K,MATCH(A:A,'CHIRP Payment Calc'!A:A,0)),0)</f>
        <v>0</v>
      </c>
      <c r="M267" s="3">
        <f t="shared" si="11"/>
        <v>500329.28441109695</v>
      </c>
    </row>
    <row r="268" spans="1:13">
      <c r="A268" s="9" t="s">
        <v>46</v>
      </c>
      <c r="B268" s="9" t="s">
        <v>1526</v>
      </c>
      <c r="C268" s="9" t="s">
        <v>222</v>
      </c>
      <c r="D268" s="4" t="s">
        <v>47</v>
      </c>
      <c r="E268" s="14" t="s">
        <v>47</v>
      </c>
      <c r="F268" s="14" t="s">
        <v>48</v>
      </c>
      <c r="G268" s="14" t="s">
        <v>46</v>
      </c>
      <c r="H268" s="9" t="s">
        <v>2019</v>
      </c>
      <c r="I268" s="3">
        <v>6155122.5971305147</v>
      </c>
      <c r="J268" s="3">
        <v>4872860.1102554705</v>
      </c>
      <c r="K268" s="3">
        <f t="shared" si="10"/>
        <v>11027982.707385985</v>
      </c>
      <c r="L268" s="3">
        <f>IFERROR(INDEX('CHIRP Payment Calc'!K:K,MATCH(A:A,'CHIRP Payment Calc'!A:A,0)),0)</f>
        <v>13992822.512675658</v>
      </c>
      <c r="M268" s="3">
        <f t="shared" si="11"/>
        <v>-2964839.8052896727</v>
      </c>
    </row>
    <row r="269" spans="1:13">
      <c r="A269" s="9" t="s">
        <v>1563</v>
      </c>
      <c r="B269" s="9" t="s">
        <v>1526</v>
      </c>
      <c r="C269" s="9" t="s">
        <v>222</v>
      </c>
      <c r="D269" s="4" t="s">
        <v>1646</v>
      </c>
      <c r="E269" s="14" t="s">
        <v>1646</v>
      </c>
      <c r="F269" s="14" t="s">
        <v>1270</v>
      </c>
      <c r="G269" s="14" t="s">
        <v>1563</v>
      </c>
      <c r="H269" s="9" t="s">
        <v>2018</v>
      </c>
      <c r="I269" s="3">
        <v>19885749.325538397</v>
      </c>
      <c r="J269" s="3">
        <v>5124157.1020996254</v>
      </c>
      <c r="K269" s="3">
        <f t="shared" si="10"/>
        <v>25009906.427638024</v>
      </c>
      <c r="L269" s="3">
        <f>IFERROR(INDEX('CHIRP Payment Calc'!K:K,MATCH(A:A,'CHIRP Payment Calc'!A:A,0)),0)</f>
        <v>37650644.595486045</v>
      </c>
      <c r="M269" s="3">
        <f t="shared" si="11"/>
        <v>-12640738.167848021</v>
      </c>
    </row>
    <row r="270" spans="1:13">
      <c r="A270" s="9" t="s">
        <v>1529</v>
      </c>
      <c r="B270" s="9" t="s">
        <v>1526</v>
      </c>
      <c r="C270" s="9" t="s">
        <v>222</v>
      </c>
      <c r="D270" s="4" t="s">
        <v>1530</v>
      </c>
      <c r="E270" s="14" t="s">
        <v>1530</v>
      </c>
      <c r="F270" s="14" t="s">
        <v>1531</v>
      </c>
      <c r="G270" s="14" t="s">
        <v>1529</v>
      </c>
      <c r="H270" s="9" t="s">
        <v>2017</v>
      </c>
      <c r="I270" s="3">
        <v>0</v>
      </c>
      <c r="J270" s="3">
        <v>0</v>
      </c>
      <c r="K270" s="3">
        <f t="shared" si="10"/>
        <v>0</v>
      </c>
      <c r="L270" s="3">
        <f>IFERROR(INDEX('CHIRP Payment Calc'!K:K,MATCH(A:A,'CHIRP Payment Calc'!A:A,0)),0)</f>
        <v>0</v>
      </c>
      <c r="M270" s="3">
        <f t="shared" si="11"/>
        <v>0</v>
      </c>
    </row>
    <row r="271" spans="1:13">
      <c r="A271" s="9" t="s">
        <v>2015</v>
      </c>
      <c r="B271" s="9" t="s">
        <v>1526</v>
      </c>
      <c r="C271" s="9" t="s">
        <v>222</v>
      </c>
      <c r="D271" s="4" t="s">
        <v>2016</v>
      </c>
      <c r="E271" s="14" t="s">
        <v>2016</v>
      </c>
      <c r="F271" s="14" t="e">
        <v>#N/A</v>
      </c>
      <c r="G271" s="14" t="s">
        <v>2015</v>
      </c>
      <c r="H271" s="9" t="s">
        <v>2014</v>
      </c>
      <c r="I271" s="3">
        <v>0</v>
      </c>
      <c r="J271" s="3">
        <v>0</v>
      </c>
      <c r="K271" s="3">
        <f t="shared" si="10"/>
        <v>0</v>
      </c>
      <c r="L271" s="3">
        <f>IFERROR(INDEX('CHIRP Payment Calc'!K:K,MATCH(A:A,'CHIRP Payment Calc'!A:A,0)),0)</f>
        <v>0</v>
      </c>
      <c r="M271" s="3">
        <f t="shared" si="11"/>
        <v>0</v>
      </c>
    </row>
    <row r="272" spans="1:13">
      <c r="A272" s="9" t="s">
        <v>317</v>
      </c>
      <c r="B272" s="9" t="s">
        <v>1526</v>
      </c>
      <c r="C272" s="9" t="s">
        <v>222</v>
      </c>
      <c r="D272" s="4" t="s">
        <v>318</v>
      </c>
      <c r="E272" s="14" t="s">
        <v>318</v>
      </c>
      <c r="F272" s="14" t="s">
        <v>319</v>
      </c>
      <c r="G272" s="14" t="s">
        <v>317</v>
      </c>
      <c r="H272" s="9" t="s">
        <v>2013</v>
      </c>
      <c r="I272" s="3">
        <v>121053.24043649244</v>
      </c>
      <c r="J272" s="3">
        <v>22904.750585964539</v>
      </c>
      <c r="K272" s="3">
        <f t="shared" si="10"/>
        <v>143957.99102245699</v>
      </c>
      <c r="L272" s="3">
        <f>IFERROR(INDEX('CHIRP Payment Calc'!K:K,MATCH(A:A,'CHIRP Payment Calc'!A:A,0)),0)</f>
        <v>220015.0493707062</v>
      </c>
      <c r="M272" s="3">
        <f t="shared" si="11"/>
        <v>-76057.058348249207</v>
      </c>
    </row>
    <row r="273" spans="1:13">
      <c r="A273" s="9" t="s">
        <v>237</v>
      </c>
      <c r="B273" s="9" t="s">
        <v>1526</v>
      </c>
      <c r="C273" s="9" t="s">
        <v>222</v>
      </c>
      <c r="D273" s="4" t="s">
        <v>238</v>
      </c>
      <c r="E273" s="14" t="s">
        <v>238</v>
      </c>
      <c r="F273" s="14" t="s">
        <v>239</v>
      </c>
      <c r="G273" s="14" t="s">
        <v>237</v>
      </c>
      <c r="H273" s="9" t="s">
        <v>2012</v>
      </c>
      <c r="I273" s="3">
        <v>2120.3985051246068</v>
      </c>
      <c r="J273" s="3">
        <v>20309.778957427599</v>
      </c>
      <c r="K273" s="3">
        <f t="shared" si="10"/>
        <v>22430.177462552205</v>
      </c>
      <c r="L273" s="3">
        <f>IFERROR(INDEX('CHIRP Payment Calc'!K:K,MATCH(A:A,'CHIRP Payment Calc'!A:A,0)),0)</f>
        <v>56850.06954140139</v>
      </c>
      <c r="M273" s="3">
        <f t="shared" si="11"/>
        <v>-34419.892078849181</v>
      </c>
    </row>
    <row r="274" spans="1:13">
      <c r="A274" s="9" t="s">
        <v>1570</v>
      </c>
      <c r="B274" s="9" t="s">
        <v>1526</v>
      </c>
      <c r="C274" s="9" t="s">
        <v>222</v>
      </c>
      <c r="D274" s="4" t="s">
        <v>1398</v>
      </c>
      <c r="E274" s="14" t="s">
        <v>1700</v>
      </c>
      <c r="F274" s="14" t="s">
        <v>1399</v>
      </c>
      <c r="G274" s="14" t="s">
        <v>1570</v>
      </c>
      <c r="H274" s="9" t="s">
        <v>2011</v>
      </c>
      <c r="I274" s="3">
        <v>244288.35455391306</v>
      </c>
      <c r="J274" s="3">
        <v>0</v>
      </c>
      <c r="K274" s="3">
        <f t="shared" si="10"/>
        <v>244288.35455391306</v>
      </c>
      <c r="L274" s="3">
        <f>IFERROR(INDEX('CHIRP Payment Calc'!K:K,MATCH(A:A,'CHIRP Payment Calc'!A:A,0)),0)</f>
        <v>0</v>
      </c>
      <c r="M274" s="3">
        <f t="shared" si="11"/>
        <v>244288.35455391306</v>
      </c>
    </row>
    <row r="275" spans="1:13">
      <c r="A275" s="9" t="s">
        <v>671</v>
      </c>
      <c r="B275" s="9" t="s">
        <v>1526</v>
      </c>
      <c r="C275" s="9" t="s">
        <v>222</v>
      </c>
      <c r="D275" s="4" t="s">
        <v>672</v>
      </c>
      <c r="E275" s="14" t="s">
        <v>672</v>
      </c>
      <c r="F275" s="14" t="s">
        <v>673</v>
      </c>
      <c r="G275" s="14" t="s">
        <v>671</v>
      </c>
      <c r="H275" s="9" t="s">
        <v>2010</v>
      </c>
      <c r="I275" s="3">
        <v>2210517.584365123</v>
      </c>
      <c r="J275" s="3">
        <v>3072546.0707428241</v>
      </c>
      <c r="K275" s="3">
        <f t="shared" si="10"/>
        <v>5283063.6551079471</v>
      </c>
      <c r="L275" s="3">
        <f>IFERROR(INDEX('CHIRP Payment Calc'!K:K,MATCH(A:A,'CHIRP Payment Calc'!A:A,0)),0)</f>
        <v>0</v>
      </c>
      <c r="M275" s="3">
        <f t="shared" si="11"/>
        <v>5283063.6551079471</v>
      </c>
    </row>
    <row r="276" spans="1:13">
      <c r="A276" s="9" t="s">
        <v>677</v>
      </c>
      <c r="B276" s="9" t="s">
        <v>1526</v>
      </c>
      <c r="C276" s="9" t="s">
        <v>1479</v>
      </c>
      <c r="D276" s="4" t="s">
        <v>678</v>
      </c>
      <c r="E276" s="14" t="s">
        <v>678</v>
      </c>
      <c r="F276" s="14" t="s">
        <v>679</v>
      </c>
      <c r="G276" s="14" t="s">
        <v>677</v>
      </c>
      <c r="H276" s="9" t="s">
        <v>1699</v>
      </c>
      <c r="I276" s="3">
        <v>108336.9353826389</v>
      </c>
      <c r="J276" s="3">
        <v>46965.88530600215</v>
      </c>
      <c r="K276" s="3">
        <f t="shared" si="10"/>
        <v>155302.82068864105</v>
      </c>
      <c r="L276" s="3">
        <f>IFERROR(INDEX('CHIRP Payment Calc'!K:K,MATCH(A:A,'CHIRP Payment Calc'!A:A,0)),0)</f>
        <v>0</v>
      </c>
      <c r="M276" s="3">
        <f t="shared" si="11"/>
        <v>155302.82068864105</v>
      </c>
    </row>
    <row r="277" spans="1:13">
      <c r="A277" s="9" t="s">
        <v>877</v>
      </c>
      <c r="B277" s="9" t="s">
        <v>1526</v>
      </c>
      <c r="C277" s="9" t="s">
        <v>1479</v>
      </c>
      <c r="D277" s="4" t="s">
        <v>878</v>
      </c>
      <c r="E277" s="14" t="s">
        <v>878</v>
      </c>
      <c r="F277" s="14" t="s">
        <v>879</v>
      </c>
      <c r="G277" s="14" t="s">
        <v>877</v>
      </c>
      <c r="H277" s="9" t="s">
        <v>2009</v>
      </c>
      <c r="I277" s="3">
        <v>2465466.4768559658</v>
      </c>
      <c r="J277" s="3">
        <v>357697.2983647022</v>
      </c>
      <c r="K277" s="3">
        <f t="shared" si="10"/>
        <v>2823163.7752206679</v>
      </c>
      <c r="L277" s="3">
        <f>IFERROR(INDEX('CHIRP Payment Calc'!K:K,MATCH(A:A,'CHIRP Payment Calc'!A:A,0)),0)</f>
        <v>5448062.5241523972</v>
      </c>
      <c r="M277" s="3">
        <f t="shared" si="11"/>
        <v>-2624898.7489317292</v>
      </c>
    </row>
    <row r="278" spans="1:13">
      <c r="A278" s="9" t="s">
        <v>871</v>
      </c>
      <c r="B278" s="9" t="s">
        <v>1526</v>
      </c>
      <c r="C278" s="9" t="s">
        <v>1479</v>
      </c>
      <c r="D278" s="4" t="s">
        <v>872</v>
      </c>
      <c r="E278" s="14" t="s">
        <v>872</v>
      </c>
      <c r="F278" s="14" t="s">
        <v>873</v>
      </c>
      <c r="G278" s="14" t="s">
        <v>871</v>
      </c>
      <c r="H278" s="9" t="s">
        <v>2008</v>
      </c>
      <c r="I278" s="3">
        <v>1640917.1041809272</v>
      </c>
      <c r="J278" s="3">
        <v>288627.48277881526</v>
      </c>
      <c r="K278" s="3">
        <f t="shared" si="10"/>
        <v>1929544.5869597425</v>
      </c>
      <c r="L278" s="3">
        <f>IFERROR(INDEX('CHIRP Payment Calc'!K:K,MATCH(A:A,'CHIRP Payment Calc'!A:A,0)),0)</f>
        <v>3582190.4594764952</v>
      </c>
      <c r="M278" s="3">
        <f t="shared" si="11"/>
        <v>-1652645.8725167527</v>
      </c>
    </row>
    <row r="279" spans="1:13">
      <c r="A279" s="9" t="s">
        <v>722</v>
      </c>
      <c r="B279" s="9" t="s">
        <v>1526</v>
      </c>
      <c r="C279" s="9" t="s">
        <v>1479</v>
      </c>
      <c r="D279" s="4" t="s">
        <v>723</v>
      </c>
      <c r="E279" s="14" t="s">
        <v>723</v>
      </c>
      <c r="F279" s="14" t="s">
        <v>724</v>
      </c>
      <c r="G279" s="14" t="s">
        <v>722</v>
      </c>
      <c r="H279" s="9" t="s">
        <v>2007</v>
      </c>
      <c r="I279" s="3">
        <v>1822901.5435792729</v>
      </c>
      <c r="J279" s="3">
        <v>208239.70587281891</v>
      </c>
      <c r="K279" s="3">
        <f t="shared" si="10"/>
        <v>2031141.2494520918</v>
      </c>
      <c r="L279" s="3">
        <f>IFERROR(INDEX('CHIRP Payment Calc'!K:K,MATCH(A:A,'CHIRP Payment Calc'!A:A,0)),0)</f>
        <v>4071151.7815212654</v>
      </c>
      <c r="M279" s="3">
        <f t="shared" si="11"/>
        <v>-2040010.5320691736</v>
      </c>
    </row>
    <row r="280" spans="1:13">
      <c r="A280" s="9" t="s">
        <v>1177</v>
      </c>
      <c r="B280" s="9" t="s">
        <v>1526</v>
      </c>
      <c r="C280" s="9" t="s">
        <v>1545</v>
      </c>
      <c r="D280" s="4" t="s">
        <v>1178</v>
      </c>
      <c r="E280" s="14" t="s">
        <v>1178</v>
      </c>
      <c r="F280" s="14" t="s">
        <v>1179</v>
      </c>
      <c r="G280" s="14" t="s">
        <v>1177</v>
      </c>
      <c r="H280" s="9" t="s">
        <v>1575</v>
      </c>
      <c r="I280" s="3">
        <v>282180.94814516098</v>
      </c>
      <c r="J280" s="3">
        <v>53994.649268879853</v>
      </c>
      <c r="K280" s="3">
        <f t="shared" si="10"/>
        <v>336175.59741404082</v>
      </c>
      <c r="L280" s="3">
        <f>IFERROR(INDEX('CHIRP Payment Calc'!K:K,MATCH(A:A,'CHIRP Payment Calc'!A:A,0)),0)</f>
        <v>395342.29016479512</v>
      </c>
      <c r="M280" s="3">
        <f t="shared" si="11"/>
        <v>-59166.692750754301</v>
      </c>
    </row>
    <row r="281" spans="1:13">
      <c r="A281" s="9" t="s">
        <v>1075</v>
      </c>
      <c r="B281" s="9" t="s">
        <v>1526</v>
      </c>
      <c r="C281" s="9" t="s">
        <v>1545</v>
      </c>
      <c r="D281" s="4" t="s">
        <v>1076</v>
      </c>
      <c r="E281" s="14" t="s">
        <v>1076</v>
      </c>
      <c r="F281" s="14" t="s">
        <v>1077</v>
      </c>
      <c r="G281" s="14" t="s">
        <v>1075</v>
      </c>
      <c r="H281" s="9" t="s">
        <v>2006</v>
      </c>
      <c r="I281" s="3">
        <v>235393.15791173824</v>
      </c>
      <c r="J281" s="3">
        <v>75164.153454578627</v>
      </c>
      <c r="K281" s="3">
        <f t="shared" si="10"/>
        <v>310557.31136631686</v>
      </c>
      <c r="L281" s="3">
        <f>IFERROR(INDEX('CHIRP Payment Calc'!K:K,MATCH(A:A,'CHIRP Payment Calc'!A:A,0)),0)</f>
        <v>389467.50093742681</v>
      </c>
      <c r="M281" s="3">
        <f t="shared" si="11"/>
        <v>-78910.18957110995</v>
      </c>
    </row>
    <row r="282" spans="1:13">
      <c r="A282" s="9" t="s">
        <v>683</v>
      </c>
      <c r="B282" s="9" t="s">
        <v>1526</v>
      </c>
      <c r="C282" s="9" t="s">
        <v>1545</v>
      </c>
      <c r="D282" s="4" t="s">
        <v>684</v>
      </c>
      <c r="E282" s="14" t="s">
        <v>684</v>
      </c>
      <c r="F282" s="14" t="s">
        <v>685</v>
      </c>
      <c r="G282" s="14" t="s">
        <v>683</v>
      </c>
      <c r="H282" s="9" t="s">
        <v>2005</v>
      </c>
      <c r="I282" s="3">
        <v>1569035.1370297181</v>
      </c>
      <c r="J282" s="3">
        <v>124969.04849284602</v>
      </c>
      <c r="K282" s="3">
        <f t="shared" si="10"/>
        <v>1694004.1855225642</v>
      </c>
      <c r="L282" s="3">
        <f>IFERROR(INDEX('CHIRP Payment Calc'!K:K,MATCH(A:A,'CHIRP Payment Calc'!A:A,0)),0)</f>
        <v>2850751.2360340189</v>
      </c>
      <c r="M282" s="3">
        <f t="shared" si="11"/>
        <v>-1156747.0505114547</v>
      </c>
    </row>
    <row r="283" spans="1:13">
      <c r="A283" s="9" t="s">
        <v>786</v>
      </c>
      <c r="B283" s="9" t="s">
        <v>1526</v>
      </c>
      <c r="C283" s="9" t="s">
        <v>1545</v>
      </c>
      <c r="D283" s="4" t="s">
        <v>787</v>
      </c>
      <c r="E283" s="14" t="s">
        <v>787</v>
      </c>
      <c r="F283" s="14" t="s">
        <v>788</v>
      </c>
      <c r="G283" s="14" t="s">
        <v>786</v>
      </c>
      <c r="H283" s="9" t="s">
        <v>1672</v>
      </c>
      <c r="I283" s="3">
        <v>332286.71797208185</v>
      </c>
      <c r="J283" s="3">
        <v>65248.742783338341</v>
      </c>
      <c r="K283" s="3">
        <f t="shared" si="10"/>
        <v>397535.46075542021</v>
      </c>
      <c r="L283" s="3">
        <f>IFERROR(INDEX('CHIRP Payment Calc'!K:K,MATCH(A:A,'CHIRP Payment Calc'!A:A,0)),0)</f>
        <v>756682.1711993413</v>
      </c>
      <c r="M283" s="3">
        <f t="shared" si="11"/>
        <v>-359146.7104439211</v>
      </c>
    </row>
    <row r="284" spans="1:13">
      <c r="A284" s="9" t="s">
        <v>1086</v>
      </c>
      <c r="B284" s="9" t="s">
        <v>1526</v>
      </c>
      <c r="C284" s="9" t="s">
        <v>1545</v>
      </c>
      <c r="D284" s="4" t="s">
        <v>1087</v>
      </c>
      <c r="E284" s="14" t="s">
        <v>1087</v>
      </c>
      <c r="F284" s="14" t="s">
        <v>1088</v>
      </c>
      <c r="G284" s="14" t="s">
        <v>1086</v>
      </c>
      <c r="H284" s="9" t="s">
        <v>2004</v>
      </c>
      <c r="I284" s="3">
        <v>542903.67173780466</v>
      </c>
      <c r="J284" s="3">
        <v>195823.1424951845</v>
      </c>
      <c r="K284" s="3">
        <f t="shared" si="10"/>
        <v>738726.81423298921</v>
      </c>
      <c r="L284" s="3">
        <f>IFERROR(INDEX('CHIRP Payment Calc'!K:K,MATCH(A:A,'CHIRP Payment Calc'!A:A,0)),0)</f>
        <v>1327298.3305092072</v>
      </c>
      <c r="M284" s="3">
        <f t="shared" si="11"/>
        <v>-588571.516276218</v>
      </c>
    </row>
    <row r="285" spans="1:13">
      <c r="A285" s="9" t="s">
        <v>813</v>
      </c>
      <c r="B285" s="9" t="s">
        <v>1526</v>
      </c>
      <c r="C285" s="9" t="s">
        <v>1545</v>
      </c>
      <c r="D285" s="4" t="s">
        <v>814</v>
      </c>
      <c r="E285" s="14" t="s">
        <v>814</v>
      </c>
      <c r="F285" s="14" t="s">
        <v>815</v>
      </c>
      <c r="G285" s="14" t="s">
        <v>813</v>
      </c>
      <c r="H285" s="9" t="s">
        <v>2003</v>
      </c>
      <c r="I285" s="3">
        <v>113072.77982644046</v>
      </c>
      <c r="J285" s="3">
        <v>52815.162862384474</v>
      </c>
      <c r="K285" s="3">
        <f t="shared" si="10"/>
        <v>165887.94268882493</v>
      </c>
      <c r="L285" s="3">
        <f>IFERROR(INDEX('CHIRP Payment Calc'!K:K,MATCH(A:A,'CHIRP Payment Calc'!A:A,0)),0)</f>
        <v>308145.34685839555</v>
      </c>
      <c r="M285" s="3">
        <f t="shared" si="11"/>
        <v>-142257.40416957063</v>
      </c>
    </row>
    <row r="286" spans="1:13">
      <c r="A286" s="9" t="s">
        <v>1152</v>
      </c>
      <c r="B286" s="9" t="s">
        <v>1526</v>
      </c>
      <c r="C286" s="9" t="s">
        <v>1554</v>
      </c>
      <c r="D286" s="4" t="s">
        <v>1153</v>
      </c>
      <c r="E286" s="14" t="s">
        <v>1153</v>
      </c>
      <c r="F286" s="14" t="s">
        <v>1154</v>
      </c>
      <c r="G286" s="14" t="s">
        <v>1152</v>
      </c>
      <c r="H286" s="9" t="s">
        <v>1588</v>
      </c>
      <c r="I286" s="3">
        <v>21566929.698444266</v>
      </c>
      <c r="J286" s="3">
        <v>11818238.551683938</v>
      </c>
      <c r="K286" s="3">
        <f t="shared" si="10"/>
        <v>33385168.250128202</v>
      </c>
      <c r="L286" s="3">
        <f>IFERROR(INDEX('CHIRP Payment Calc'!K:K,MATCH(A:A,'CHIRP Payment Calc'!A:A,0)),0)</f>
        <v>47184259.465253204</v>
      </c>
      <c r="M286" s="3">
        <f t="shared" si="11"/>
        <v>-13799091.215125002</v>
      </c>
    </row>
    <row r="287" spans="1:13">
      <c r="A287" s="9" t="s">
        <v>1753</v>
      </c>
      <c r="B287" s="9" t="s">
        <v>1486</v>
      </c>
      <c r="C287" s="9" t="s">
        <v>1796</v>
      </c>
      <c r="D287" s="4" t="s">
        <v>1754</v>
      </c>
      <c r="E287" s="14" t="s">
        <v>1754</v>
      </c>
      <c r="F287" s="14" t="s">
        <v>1764</v>
      </c>
      <c r="G287" s="14" t="s">
        <v>1753</v>
      </c>
      <c r="H287" s="9" t="s">
        <v>2002</v>
      </c>
      <c r="I287" s="3">
        <v>581622.5779796635</v>
      </c>
      <c r="J287" s="3">
        <v>0</v>
      </c>
      <c r="K287" s="3">
        <f t="shared" si="10"/>
        <v>581622.5779796635</v>
      </c>
      <c r="L287" s="3">
        <f>IFERROR(INDEX('CHIRP Payment Calc'!K:K,MATCH(A:A,'CHIRP Payment Calc'!A:A,0)),0)</f>
        <v>0</v>
      </c>
      <c r="M287" s="3">
        <f t="shared" si="11"/>
        <v>581622.5779796635</v>
      </c>
    </row>
    <row r="288" spans="1:13">
      <c r="A288" s="9" t="s">
        <v>1259</v>
      </c>
      <c r="B288" s="9" t="s">
        <v>1486</v>
      </c>
      <c r="C288" s="9" t="s">
        <v>1796</v>
      </c>
      <c r="D288" s="4" t="s">
        <v>1260</v>
      </c>
      <c r="E288" s="14" t="s">
        <v>1260</v>
      </c>
      <c r="F288" s="14" t="s">
        <v>1261</v>
      </c>
      <c r="G288" s="14" t="s">
        <v>1259</v>
      </c>
      <c r="H288" s="9" t="s">
        <v>2001</v>
      </c>
      <c r="I288" s="3">
        <v>1664901.3700215635</v>
      </c>
      <c r="J288" s="3">
        <v>0</v>
      </c>
      <c r="K288" s="3">
        <f t="shared" si="10"/>
        <v>1664901.3700215635</v>
      </c>
      <c r="L288" s="3">
        <f>IFERROR(INDEX('CHIRP Payment Calc'!K:K,MATCH(A:A,'CHIRP Payment Calc'!A:A,0)),0)</f>
        <v>2398852.0225756029</v>
      </c>
      <c r="M288" s="3">
        <f t="shared" si="11"/>
        <v>-733950.65255403938</v>
      </c>
    </row>
    <row r="289" spans="1:13">
      <c r="A289" s="9" t="s">
        <v>1682</v>
      </c>
      <c r="B289" s="9" t="s">
        <v>227</v>
      </c>
      <c r="C289" s="9" t="s">
        <v>1545</v>
      </c>
      <c r="D289" s="4" t="s">
        <v>1683</v>
      </c>
      <c r="E289" s="14" t="s">
        <v>1683</v>
      </c>
      <c r="F289" s="14" t="e">
        <v>#N/A</v>
      </c>
      <c r="G289" s="14" t="s">
        <v>1682</v>
      </c>
      <c r="H289" s="9" t="s">
        <v>1895</v>
      </c>
      <c r="I289" s="3">
        <v>18016.174845078149</v>
      </c>
      <c r="J289" s="3">
        <v>0</v>
      </c>
      <c r="K289" s="3">
        <f t="shared" si="10"/>
        <v>18016.174845078149</v>
      </c>
      <c r="L289" s="3">
        <f>IFERROR(INDEX('CHIRP Payment Calc'!K:K,MATCH(A:A,'CHIRP Payment Calc'!A:A,0)),0)</f>
        <v>0</v>
      </c>
      <c r="M289" s="3">
        <f t="shared" si="11"/>
        <v>18016.174845078149</v>
      </c>
    </row>
    <row r="290" spans="1:13">
      <c r="A290" s="9" t="e">
        <v>#N/A</v>
      </c>
      <c r="B290" s="9" t="s">
        <v>1486</v>
      </c>
      <c r="C290" s="9" t="s">
        <v>222</v>
      </c>
      <c r="D290" s="4" t="s">
        <v>1999</v>
      </c>
      <c r="E290" s="14" t="e">
        <v>#N/A</v>
      </c>
      <c r="F290" s="14" t="e">
        <v>#N/A</v>
      </c>
      <c r="G290" s="14" t="e">
        <v>#N/A</v>
      </c>
      <c r="H290" s="9" t="s">
        <v>1707</v>
      </c>
      <c r="I290" s="3">
        <v>0</v>
      </c>
      <c r="J290" s="3">
        <v>0</v>
      </c>
      <c r="K290" s="3">
        <f t="shared" si="10"/>
        <v>0</v>
      </c>
      <c r="L290" s="3">
        <f>IFERROR(INDEX('CHIRP Payment Calc'!K:K,MATCH(A:A,'CHIRP Payment Calc'!A:A,0)),0)</f>
        <v>0</v>
      </c>
      <c r="M290" s="3">
        <f t="shared" si="11"/>
        <v>0</v>
      </c>
    </row>
    <row r="291" spans="1:13">
      <c r="A291" s="9" t="s">
        <v>983</v>
      </c>
      <c r="B291" s="9" t="s">
        <v>1486</v>
      </c>
      <c r="C291" s="9" t="s">
        <v>222</v>
      </c>
      <c r="D291" s="4" t="s">
        <v>984</v>
      </c>
      <c r="E291" s="14" t="s">
        <v>984</v>
      </c>
      <c r="F291" s="14" t="s">
        <v>985</v>
      </c>
      <c r="G291" s="14" t="s">
        <v>983</v>
      </c>
      <c r="H291" s="9" t="s">
        <v>1998</v>
      </c>
      <c r="I291" s="3">
        <v>4642980.1074892404</v>
      </c>
      <c r="J291" s="3">
        <v>5048232.9710146077</v>
      </c>
      <c r="K291" s="3">
        <f t="shared" si="10"/>
        <v>9691213.0785038471</v>
      </c>
      <c r="L291" s="3">
        <f>IFERROR(INDEX('CHIRP Payment Calc'!K:K,MATCH(A:A,'CHIRP Payment Calc'!A:A,0)),0)</f>
        <v>13360725.550000466</v>
      </c>
      <c r="M291" s="3">
        <f t="shared" si="11"/>
        <v>-3669512.4714966193</v>
      </c>
    </row>
    <row r="292" spans="1:13">
      <c r="A292" s="9" t="s">
        <v>1001</v>
      </c>
      <c r="B292" s="9" t="s">
        <v>1486</v>
      </c>
      <c r="C292" s="9" t="s">
        <v>222</v>
      </c>
      <c r="D292" s="4" t="s">
        <v>1002</v>
      </c>
      <c r="E292" s="14" t="s">
        <v>1002</v>
      </c>
      <c r="F292" s="14" t="s">
        <v>1003</v>
      </c>
      <c r="G292" s="14" t="s">
        <v>1001</v>
      </c>
      <c r="H292" s="9" t="s">
        <v>1003</v>
      </c>
      <c r="I292" s="3">
        <v>4107239.5974255716</v>
      </c>
      <c r="J292" s="3">
        <v>2093939.5822948362</v>
      </c>
      <c r="K292" s="3">
        <f t="shared" si="10"/>
        <v>6201179.1797204074</v>
      </c>
      <c r="L292" s="3">
        <f>IFERROR(INDEX('CHIRP Payment Calc'!K:K,MATCH(A:A,'CHIRP Payment Calc'!A:A,0)),0)</f>
        <v>8856414.5495640412</v>
      </c>
      <c r="M292" s="3">
        <f t="shared" si="11"/>
        <v>-2655235.3698436338</v>
      </c>
    </row>
    <row r="293" spans="1:13">
      <c r="A293" s="9" t="s">
        <v>1708</v>
      </c>
      <c r="B293" s="9" t="s">
        <v>1486</v>
      </c>
      <c r="C293" s="9" t="s">
        <v>222</v>
      </c>
      <c r="D293" s="4" t="s">
        <v>1709</v>
      </c>
      <c r="E293" s="14" t="s">
        <v>1709</v>
      </c>
      <c r="F293" s="14" t="s">
        <v>1707</v>
      </c>
      <c r="G293" s="14" t="s">
        <v>1708</v>
      </c>
      <c r="H293" s="9" t="s">
        <v>1707</v>
      </c>
      <c r="I293" s="3">
        <v>518463.84957458341</v>
      </c>
      <c r="J293" s="3">
        <v>848794.87115640775</v>
      </c>
      <c r="K293" s="3">
        <f t="shared" si="10"/>
        <v>1367258.7207309911</v>
      </c>
      <c r="L293" s="3">
        <f>IFERROR(INDEX('CHIRP Payment Calc'!K:K,MATCH(A:A,'CHIRP Payment Calc'!A:A,0)),0)</f>
        <v>0</v>
      </c>
      <c r="M293" s="3">
        <f t="shared" si="11"/>
        <v>1367258.7207309911</v>
      </c>
    </row>
    <row r="294" spans="1:13">
      <c r="A294" s="9" t="s">
        <v>1010</v>
      </c>
      <c r="B294" s="9" t="s">
        <v>1486</v>
      </c>
      <c r="C294" s="9" t="s">
        <v>222</v>
      </c>
      <c r="D294" s="4" t="s">
        <v>1011</v>
      </c>
      <c r="E294" s="14" t="s">
        <v>1011</v>
      </c>
      <c r="F294" s="14" t="s">
        <v>1012</v>
      </c>
      <c r="G294" s="14" t="s">
        <v>1010</v>
      </c>
      <c r="H294" s="9" t="s">
        <v>1997</v>
      </c>
      <c r="I294" s="3">
        <v>41915165.55581975</v>
      </c>
      <c r="J294" s="3">
        <v>23540180.050262332</v>
      </c>
      <c r="K294" s="3">
        <f t="shared" si="10"/>
        <v>65455345.606082082</v>
      </c>
      <c r="L294" s="3">
        <f>IFERROR(INDEX('CHIRP Payment Calc'!K:K,MATCH(A:A,'CHIRP Payment Calc'!A:A,0)),0)</f>
        <v>84798469.947185144</v>
      </c>
      <c r="M294" s="3">
        <f t="shared" si="11"/>
        <v>-19343124.341103062</v>
      </c>
    </row>
    <row r="295" spans="1:13">
      <c r="A295" s="9" t="s">
        <v>1586</v>
      </c>
      <c r="B295" s="9" t="s">
        <v>310</v>
      </c>
      <c r="C295" s="9" t="s">
        <v>1582</v>
      </c>
      <c r="D295" s="4" t="s">
        <v>1587</v>
      </c>
      <c r="E295" s="14" t="s">
        <v>1587</v>
      </c>
      <c r="F295" s="14" t="e">
        <v>#N/A</v>
      </c>
      <c r="G295" s="14" t="s">
        <v>1586</v>
      </c>
      <c r="H295" s="9" t="s">
        <v>1938</v>
      </c>
      <c r="I295" s="3">
        <v>705623.8059892942</v>
      </c>
      <c r="J295" s="3">
        <v>3231017.1790430392</v>
      </c>
      <c r="K295" s="3">
        <f t="shared" si="10"/>
        <v>3936640.9850323335</v>
      </c>
      <c r="L295" s="3">
        <f>IFERROR(INDEX('CHIRP Payment Calc'!K:K,MATCH(A:A,'CHIRP Payment Calc'!A:A,0)),0)</f>
        <v>3794302.1670160033</v>
      </c>
      <c r="M295" s="3">
        <f t="shared" si="11"/>
        <v>142338.81801633025</v>
      </c>
    </row>
    <row r="296" spans="1:13">
      <c r="A296" s="9" t="s">
        <v>886</v>
      </c>
      <c r="B296" s="9" t="s">
        <v>1486</v>
      </c>
      <c r="C296" s="9" t="s">
        <v>222</v>
      </c>
      <c r="D296" s="4" t="s">
        <v>887</v>
      </c>
      <c r="E296" s="14" t="s">
        <v>887</v>
      </c>
      <c r="F296" s="14" t="s">
        <v>888</v>
      </c>
      <c r="G296" s="14" t="s">
        <v>886</v>
      </c>
      <c r="H296" s="9" t="s">
        <v>1996</v>
      </c>
      <c r="I296" s="3">
        <v>5438461.8911098223</v>
      </c>
      <c r="J296" s="3">
        <v>2405628.4099425836</v>
      </c>
      <c r="K296" s="3">
        <f t="shared" si="10"/>
        <v>7844090.3010524064</v>
      </c>
      <c r="L296" s="3">
        <f>IFERROR(INDEX('CHIRP Payment Calc'!K:K,MATCH(A:A,'CHIRP Payment Calc'!A:A,0)),0)</f>
        <v>12055113.555901164</v>
      </c>
      <c r="M296" s="3">
        <f t="shared" si="11"/>
        <v>-4211023.2548487578</v>
      </c>
    </row>
    <row r="297" spans="1:13">
      <c r="A297" s="9" t="s">
        <v>43</v>
      </c>
      <c r="B297" s="9" t="s">
        <v>1486</v>
      </c>
      <c r="C297" s="9" t="s">
        <v>222</v>
      </c>
      <c r="D297" s="4" t="s">
        <v>44</v>
      </c>
      <c r="E297" s="14" t="s">
        <v>44</v>
      </c>
      <c r="F297" s="14" t="s">
        <v>45</v>
      </c>
      <c r="G297" s="14" t="s">
        <v>43</v>
      </c>
      <c r="H297" s="9" t="s">
        <v>1995</v>
      </c>
      <c r="I297" s="3">
        <v>173.08225770657069</v>
      </c>
      <c r="J297" s="3">
        <v>3127.5858901756687</v>
      </c>
      <c r="K297" s="3">
        <f t="shared" si="10"/>
        <v>3300.6681478822393</v>
      </c>
      <c r="L297" s="3">
        <f>IFERROR(INDEX('CHIRP Payment Calc'!K:K,MATCH(A:A,'CHIRP Payment Calc'!A:A,0)),0)</f>
        <v>0</v>
      </c>
      <c r="M297" s="3">
        <f t="shared" si="11"/>
        <v>3300.6681478822393</v>
      </c>
    </row>
    <row r="298" spans="1:13">
      <c r="A298" s="9" t="s">
        <v>750</v>
      </c>
      <c r="B298" s="9" t="s">
        <v>1486</v>
      </c>
      <c r="C298" s="9" t="s">
        <v>222</v>
      </c>
      <c r="D298" s="4" t="s">
        <v>751</v>
      </c>
      <c r="E298" s="14" t="s">
        <v>751</v>
      </c>
      <c r="F298" s="14" t="s">
        <v>752</v>
      </c>
      <c r="G298" s="14" t="s">
        <v>750</v>
      </c>
      <c r="H298" s="9" t="s">
        <v>1994</v>
      </c>
      <c r="I298" s="3">
        <v>4013904.1822172455</v>
      </c>
      <c r="J298" s="3">
        <v>1373674.4565468866</v>
      </c>
      <c r="K298" s="3">
        <f t="shared" si="10"/>
        <v>5387578.6387641318</v>
      </c>
      <c r="L298" s="3">
        <f>IFERROR(INDEX('CHIRP Payment Calc'!K:K,MATCH(A:A,'CHIRP Payment Calc'!A:A,0)),0)</f>
        <v>9183844.7610678934</v>
      </c>
      <c r="M298" s="3">
        <f t="shared" si="11"/>
        <v>-3796266.1223037615</v>
      </c>
    </row>
    <row r="299" spans="1:13">
      <c r="A299" s="9" t="s">
        <v>2322</v>
      </c>
      <c r="C299" s="9" t="s">
        <v>1796</v>
      </c>
      <c r="D299" s="4" t="s">
        <v>1800</v>
      </c>
      <c r="E299" s="14" t="s">
        <v>2322</v>
      </c>
      <c r="F299" s="14" t="e">
        <v>#N/A</v>
      </c>
      <c r="G299" s="14" t="s">
        <v>2322</v>
      </c>
      <c r="H299" s="9" t="s">
        <v>1799</v>
      </c>
      <c r="I299" s="3">
        <v>843613.62284534564</v>
      </c>
      <c r="J299" s="3">
        <v>0</v>
      </c>
      <c r="K299" s="3">
        <f t="shared" si="10"/>
        <v>843613.62284534564</v>
      </c>
      <c r="L299" s="3">
        <f>IFERROR(INDEX('CHIRP Payment Calc'!K:K,MATCH(A:A,'CHIRP Payment Calc'!A:A,0)),0)</f>
        <v>0</v>
      </c>
      <c r="M299" s="3">
        <f t="shared" si="11"/>
        <v>843613.62284534564</v>
      </c>
    </row>
    <row r="300" spans="1:13">
      <c r="A300" s="9" t="s">
        <v>1511</v>
      </c>
      <c r="B300" s="9" t="s">
        <v>1486</v>
      </c>
      <c r="C300" s="9" t="s">
        <v>222</v>
      </c>
      <c r="D300" s="4" t="s">
        <v>1512</v>
      </c>
      <c r="E300" s="14" t="s">
        <v>1512</v>
      </c>
      <c r="F300" s="14" t="s">
        <v>1513</v>
      </c>
      <c r="G300" s="14" t="s">
        <v>1511</v>
      </c>
      <c r="H300" s="9" t="s">
        <v>1992</v>
      </c>
      <c r="I300" s="3">
        <v>19882.357711723798</v>
      </c>
      <c r="J300" s="3">
        <v>125127.17178941591</v>
      </c>
      <c r="K300" s="3">
        <f t="shared" si="10"/>
        <v>145009.52950113971</v>
      </c>
      <c r="L300" s="3">
        <f>IFERROR(INDEX('CHIRP Payment Calc'!K:K,MATCH(A:A,'CHIRP Payment Calc'!A:A,0)),0)</f>
        <v>288519.51572641236</v>
      </c>
      <c r="M300" s="3">
        <f t="shared" si="11"/>
        <v>-143509.98622527265</v>
      </c>
    </row>
    <row r="301" spans="1:13">
      <c r="A301" s="9" t="s">
        <v>995</v>
      </c>
      <c r="B301" s="9" t="s">
        <v>1486</v>
      </c>
      <c r="C301" s="9" t="s">
        <v>222</v>
      </c>
      <c r="D301" s="4" t="s">
        <v>996</v>
      </c>
      <c r="E301" s="14" t="s">
        <v>996</v>
      </c>
      <c r="F301" s="14" t="s">
        <v>997</v>
      </c>
      <c r="G301" s="14" t="s">
        <v>995</v>
      </c>
      <c r="H301" s="9" t="s">
        <v>1625</v>
      </c>
      <c r="I301" s="3">
        <v>5798591.1754025333</v>
      </c>
      <c r="J301" s="3">
        <v>5626779.5684574097</v>
      </c>
      <c r="K301" s="3">
        <f t="shared" si="10"/>
        <v>11425370.743859943</v>
      </c>
      <c r="L301" s="3">
        <f>IFERROR(INDEX('CHIRP Payment Calc'!K:K,MATCH(A:A,'CHIRP Payment Calc'!A:A,0)),0)</f>
        <v>17181501.392618336</v>
      </c>
      <c r="M301" s="3">
        <f t="shared" si="11"/>
        <v>-5756130.6487583928</v>
      </c>
    </row>
    <row r="302" spans="1:13">
      <c r="A302" s="9" t="s">
        <v>1484</v>
      </c>
      <c r="B302" s="9" t="s">
        <v>1486</v>
      </c>
      <c r="C302" s="9" t="s">
        <v>1479</v>
      </c>
      <c r="D302" s="4" t="s">
        <v>915</v>
      </c>
      <c r="E302" s="14" t="s">
        <v>915</v>
      </c>
      <c r="F302" s="14" t="s">
        <v>916</v>
      </c>
      <c r="G302" s="14" t="s">
        <v>914</v>
      </c>
      <c r="H302" s="9" t="s">
        <v>1991</v>
      </c>
      <c r="I302" s="3">
        <v>912256.89023294509</v>
      </c>
      <c r="J302" s="3">
        <v>416137.52385825902</v>
      </c>
      <c r="K302" s="3">
        <f t="shared" si="10"/>
        <v>1328394.4140912041</v>
      </c>
      <c r="L302" s="3">
        <f>IFERROR(INDEX('CHIRP Payment Calc'!K:K,MATCH(A:A,'CHIRP Payment Calc'!A:A,0)),0)</f>
        <v>1645446.1918688985</v>
      </c>
      <c r="M302" s="3">
        <f t="shared" si="11"/>
        <v>-317051.7777776944</v>
      </c>
    </row>
    <row r="303" spans="1:13">
      <c r="A303" s="9" t="s">
        <v>1013</v>
      </c>
      <c r="B303" s="9" t="s">
        <v>1486</v>
      </c>
      <c r="C303" s="9" t="s">
        <v>1479</v>
      </c>
      <c r="D303" s="4" t="s">
        <v>1014</v>
      </c>
      <c r="E303" s="14" t="s">
        <v>1014</v>
      </c>
      <c r="F303" s="14" t="s">
        <v>1015</v>
      </c>
      <c r="G303" s="14" t="s">
        <v>1013</v>
      </c>
      <c r="H303" s="9" t="s">
        <v>1990</v>
      </c>
      <c r="I303" s="3">
        <v>1260375.0494781735</v>
      </c>
      <c r="J303" s="3">
        <v>808060.75542203593</v>
      </c>
      <c r="K303" s="3">
        <f t="shared" si="10"/>
        <v>2068435.8049002094</v>
      </c>
      <c r="L303" s="3">
        <f>IFERROR(INDEX('CHIRP Payment Calc'!K:K,MATCH(A:A,'CHIRP Payment Calc'!A:A,0)),0)</f>
        <v>3960935.2460257579</v>
      </c>
      <c r="M303" s="3">
        <f t="shared" si="11"/>
        <v>-1892499.4411255484</v>
      </c>
    </row>
    <row r="304" spans="1:13">
      <c r="A304" s="9" t="s">
        <v>725</v>
      </c>
      <c r="B304" s="9" t="s">
        <v>1486</v>
      </c>
      <c r="C304" s="9" t="s">
        <v>1479</v>
      </c>
      <c r="D304" s="4" t="s">
        <v>726</v>
      </c>
      <c r="E304" s="14" t="s">
        <v>726</v>
      </c>
      <c r="F304" s="14" t="s">
        <v>727</v>
      </c>
      <c r="G304" s="14" t="s">
        <v>725</v>
      </c>
      <c r="H304" s="9" t="s">
        <v>1685</v>
      </c>
      <c r="I304" s="3">
        <v>368406.76492578047</v>
      </c>
      <c r="J304" s="3">
        <v>175806.38839404582</v>
      </c>
      <c r="K304" s="3">
        <f t="shared" si="10"/>
        <v>544213.15331982635</v>
      </c>
      <c r="L304" s="3">
        <f>IFERROR(INDEX('CHIRP Payment Calc'!K:K,MATCH(A:A,'CHIRP Payment Calc'!A:A,0)),0)</f>
        <v>835378.62535244087</v>
      </c>
      <c r="M304" s="3">
        <f t="shared" si="11"/>
        <v>-291165.47203261452</v>
      </c>
    </row>
    <row r="305" spans="1:13">
      <c r="A305" s="9" t="s">
        <v>545</v>
      </c>
      <c r="B305" s="9" t="s">
        <v>1486</v>
      </c>
      <c r="C305" s="9" t="s">
        <v>1479</v>
      </c>
      <c r="D305" s="4" t="s">
        <v>546</v>
      </c>
      <c r="E305" s="14" t="s">
        <v>546</v>
      </c>
      <c r="F305" s="14" t="s">
        <v>547</v>
      </c>
      <c r="G305" s="14" t="s">
        <v>545</v>
      </c>
      <c r="H305" s="9" t="s">
        <v>1989</v>
      </c>
      <c r="I305" s="3">
        <v>112949.76048118617</v>
      </c>
      <c r="J305" s="3">
        <v>151571.24406484253</v>
      </c>
      <c r="K305" s="3">
        <f t="shared" si="10"/>
        <v>264521.00454602868</v>
      </c>
      <c r="L305" s="3">
        <f>IFERROR(INDEX('CHIRP Payment Calc'!K:K,MATCH(A:A,'CHIRP Payment Calc'!A:A,0)),0)</f>
        <v>348596.75742681132</v>
      </c>
      <c r="M305" s="3">
        <f t="shared" si="11"/>
        <v>-84075.752880782646</v>
      </c>
    </row>
    <row r="306" spans="1:13">
      <c r="A306" s="9" t="s">
        <v>1627</v>
      </c>
      <c r="B306" s="9" t="s">
        <v>1486</v>
      </c>
      <c r="C306" s="9" t="s">
        <v>1479</v>
      </c>
      <c r="D306" s="4" t="s">
        <v>1628</v>
      </c>
      <c r="E306" s="14" t="s">
        <v>1628</v>
      </c>
      <c r="F306" s="14" t="e">
        <v>#N/A</v>
      </c>
      <c r="G306" s="14" t="s">
        <v>1627</v>
      </c>
      <c r="H306" s="9" t="s">
        <v>1988</v>
      </c>
      <c r="I306" s="3">
        <v>0</v>
      </c>
      <c r="J306" s="3">
        <v>0</v>
      </c>
      <c r="K306" s="3">
        <f t="shared" si="10"/>
        <v>0</v>
      </c>
      <c r="L306" s="3">
        <f>IFERROR(INDEX('CHIRP Payment Calc'!K:K,MATCH(A:A,'CHIRP Payment Calc'!A:A,0)),0)</f>
        <v>0</v>
      </c>
      <c r="M306" s="3">
        <f t="shared" si="11"/>
        <v>0</v>
      </c>
    </row>
    <row r="307" spans="1:13">
      <c r="A307" s="9" t="s">
        <v>371</v>
      </c>
      <c r="B307" s="9" t="s">
        <v>1486</v>
      </c>
      <c r="C307" s="9" t="s">
        <v>1479</v>
      </c>
      <c r="D307" s="4" t="s">
        <v>372</v>
      </c>
      <c r="E307" s="14" t="s">
        <v>372</v>
      </c>
      <c r="F307" s="14" t="s">
        <v>373</v>
      </c>
      <c r="G307" s="14" t="s">
        <v>371</v>
      </c>
      <c r="H307" s="9" t="s">
        <v>1987</v>
      </c>
      <c r="I307" s="3">
        <v>254825.00262315501</v>
      </c>
      <c r="J307" s="3">
        <v>133765.52133472444</v>
      </c>
      <c r="K307" s="3">
        <f t="shared" si="10"/>
        <v>388590.52395787946</v>
      </c>
      <c r="L307" s="3">
        <f>IFERROR(INDEX('CHIRP Payment Calc'!K:K,MATCH(A:A,'CHIRP Payment Calc'!A:A,0)),0)</f>
        <v>105393.87238938136</v>
      </c>
      <c r="M307" s="3">
        <f t="shared" si="11"/>
        <v>283196.65156849811</v>
      </c>
    </row>
    <row r="308" spans="1:13">
      <c r="A308" s="9" t="s">
        <v>1705</v>
      </c>
      <c r="B308" s="9" t="s">
        <v>1486</v>
      </c>
      <c r="C308" s="9" t="s">
        <v>1479</v>
      </c>
      <c r="D308" s="4" t="s">
        <v>1706</v>
      </c>
      <c r="E308" s="14" t="s">
        <v>1706</v>
      </c>
      <c r="F308" s="14" t="s">
        <v>1760</v>
      </c>
      <c r="G308" s="14" t="s">
        <v>1705</v>
      </c>
      <c r="H308" s="9" t="s">
        <v>1760</v>
      </c>
      <c r="I308" s="3">
        <v>249853.08289036312</v>
      </c>
      <c r="J308" s="3">
        <v>238658.89959904191</v>
      </c>
      <c r="K308" s="3">
        <f t="shared" si="10"/>
        <v>488511.98248940503</v>
      </c>
      <c r="L308" s="3">
        <f>IFERROR(INDEX('CHIRP Payment Calc'!K:K,MATCH(A:A,'CHIRP Payment Calc'!A:A,0)),0)</f>
        <v>686121.17592353909</v>
      </c>
      <c r="M308" s="3">
        <f t="shared" si="11"/>
        <v>-197609.19343413407</v>
      </c>
    </row>
    <row r="309" spans="1:13">
      <c r="A309" s="9" t="s">
        <v>962</v>
      </c>
      <c r="B309" s="9" t="s">
        <v>1486</v>
      </c>
      <c r="C309" s="9" t="s">
        <v>1479</v>
      </c>
      <c r="D309" s="4" t="s">
        <v>963</v>
      </c>
      <c r="E309" s="14" t="s">
        <v>963</v>
      </c>
      <c r="F309" s="14" t="s">
        <v>964</v>
      </c>
      <c r="G309" s="14" t="s">
        <v>962</v>
      </c>
      <c r="H309" s="9" t="s">
        <v>1639</v>
      </c>
      <c r="I309" s="3">
        <v>543166.04393519624</v>
      </c>
      <c r="J309" s="3">
        <v>279534.86499416851</v>
      </c>
      <c r="K309" s="3">
        <f t="shared" si="10"/>
        <v>822700.90892936476</v>
      </c>
      <c r="L309" s="3">
        <f>IFERROR(INDEX('CHIRP Payment Calc'!K:K,MATCH(A:A,'CHIRP Payment Calc'!A:A,0)),0)</f>
        <v>997067.63314412488</v>
      </c>
      <c r="M309" s="3">
        <f t="shared" si="11"/>
        <v>-174366.72421476012</v>
      </c>
    </row>
    <row r="310" spans="1:13">
      <c r="A310" s="9" t="s">
        <v>753</v>
      </c>
      <c r="B310" s="9" t="s">
        <v>1486</v>
      </c>
      <c r="C310" s="9" t="s">
        <v>1479</v>
      </c>
      <c r="D310" s="4" t="s">
        <v>754</v>
      </c>
      <c r="E310" s="14" t="s">
        <v>754</v>
      </c>
      <c r="F310" s="14" t="s">
        <v>755</v>
      </c>
      <c r="G310" s="14" t="s">
        <v>753</v>
      </c>
      <c r="H310" s="9" t="s">
        <v>1986</v>
      </c>
      <c r="I310" s="3">
        <v>1335291.8891015921</v>
      </c>
      <c r="J310" s="3">
        <v>389795.87805089168</v>
      </c>
      <c r="K310" s="3">
        <f t="shared" si="10"/>
        <v>1725087.7671524838</v>
      </c>
      <c r="L310" s="3">
        <f>IFERROR(INDEX('CHIRP Payment Calc'!K:K,MATCH(A:A,'CHIRP Payment Calc'!A:A,0)),0)</f>
        <v>3342345.881563643</v>
      </c>
      <c r="M310" s="3">
        <f t="shared" si="11"/>
        <v>-1617258.1144111592</v>
      </c>
    </row>
    <row r="311" spans="1:13">
      <c r="A311" s="9" t="s">
        <v>1668</v>
      </c>
      <c r="B311" s="9" t="s">
        <v>1486</v>
      </c>
      <c r="C311" s="9" t="s">
        <v>1479</v>
      </c>
      <c r="D311" s="4" t="s">
        <v>1669</v>
      </c>
      <c r="E311" s="14" t="s">
        <v>1669</v>
      </c>
      <c r="F311" s="14" t="e">
        <v>#N/A</v>
      </c>
      <c r="G311" s="14" t="s">
        <v>1668</v>
      </c>
      <c r="H311" s="9" t="s">
        <v>1667</v>
      </c>
      <c r="I311" s="3">
        <v>0</v>
      </c>
      <c r="J311" s="3">
        <v>0</v>
      </c>
      <c r="K311" s="3">
        <f t="shared" si="10"/>
        <v>0</v>
      </c>
      <c r="L311" s="3">
        <f>IFERROR(INDEX('CHIRP Payment Calc'!K:K,MATCH(A:A,'CHIRP Payment Calc'!A:A,0)),0)</f>
        <v>0</v>
      </c>
      <c r="M311" s="3">
        <f t="shared" si="11"/>
        <v>0</v>
      </c>
    </row>
    <row r="312" spans="1:13">
      <c r="A312" s="9" t="s">
        <v>76</v>
      </c>
      <c r="B312" s="9" t="s">
        <v>1486</v>
      </c>
      <c r="C312" s="9" t="s">
        <v>1479</v>
      </c>
      <c r="D312" s="4" t="s">
        <v>77</v>
      </c>
      <c r="E312" s="14" t="s">
        <v>77</v>
      </c>
      <c r="F312" s="14" t="s">
        <v>78</v>
      </c>
      <c r="G312" s="14" t="s">
        <v>76</v>
      </c>
      <c r="H312" s="9" t="s">
        <v>1985</v>
      </c>
      <c r="I312" s="3">
        <v>1091797.4669126451</v>
      </c>
      <c r="J312" s="3">
        <v>176533.56761278075</v>
      </c>
      <c r="K312" s="3">
        <f t="shared" si="10"/>
        <v>1268331.0345254259</v>
      </c>
      <c r="L312" s="3">
        <f>IFERROR(INDEX('CHIRP Payment Calc'!K:K,MATCH(A:A,'CHIRP Payment Calc'!A:A,0)),0)</f>
        <v>2425559.6267362353</v>
      </c>
      <c r="M312" s="3">
        <f t="shared" si="11"/>
        <v>-1157228.5922108095</v>
      </c>
    </row>
    <row r="313" spans="1:13">
      <c r="A313" s="9" t="s">
        <v>542</v>
      </c>
      <c r="B313" s="9" t="s">
        <v>1486</v>
      </c>
      <c r="C313" s="9" t="s">
        <v>1479</v>
      </c>
      <c r="D313" s="4" t="s">
        <v>543</v>
      </c>
      <c r="E313" s="14" t="s">
        <v>543</v>
      </c>
      <c r="F313" s="14" t="s">
        <v>544</v>
      </c>
      <c r="G313" s="14" t="s">
        <v>542</v>
      </c>
      <c r="H313" s="9" t="s">
        <v>1984</v>
      </c>
      <c r="I313" s="3">
        <v>292668.74551867094</v>
      </c>
      <c r="J313" s="3">
        <v>191242.77363600905</v>
      </c>
      <c r="K313" s="3">
        <f t="shared" si="10"/>
        <v>483911.51915467996</v>
      </c>
      <c r="L313" s="3">
        <f>IFERROR(INDEX('CHIRP Payment Calc'!K:K,MATCH(A:A,'CHIRP Payment Calc'!A:A,0)),0)</f>
        <v>572045.55535535724</v>
      </c>
      <c r="M313" s="3">
        <f t="shared" si="11"/>
        <v>-88134.036200677278</v>
      </c>
    </row>
    <row r="314" spans="1:13">
      <c r="A314" s="9" t="s">
        <v>279</v>
      </c>
      <c r="B314" s="9" t="s">
        <v>1486</v>
      </c>
      <c r="C314" s="9" t="s">
        <v>1479</v>
      </c>
      <c r="D314" s="4" t="s">
        <v>280</v>
      </c>
      <c r="E314" s="14" t="s">
        <v>280</v>
      </c>
      <c r="F314" s="14" t="s">
        <v>281</v>
      </c>
      <c r="G314" s="14" t="s">
        <v>279</v>
      </c>
      <c r="H314" s="9" t="s">
        <v>1983</v>
      </c>
      <c r="I314" s="3">
        <v>313048.61270622024</v>
      </c>
      <c r="J314" s="3">
        <v>130002.98594222688</v>
      </c>
      <c r="K314" s="3">
        <f t="shared" si="10"/>
        <v>443051.59864844714</v>
      </c>
      <c r="L314" s="3">
        <f>IFERROR(INDEX('CHIRP Payment Calc'!K:K,MATCH(A:A,'CHIRP Payment Calc'!A:A,0)),0)</f>
        <v>665453.39646633621</v>
      </c>
      <c r="M314" s="3">
        <f t="shared" si="11"/>
        <v>-222401.79781788908</v>
      </c>
    </row>
    <row r="315" spans="1:13">
      <c r="A315" s="9" t="s">
        <v>816</v>
      </c>
      <c r="B315" s="9" t="s">
        <v>1486</v>
      </c>
      <c r="C315" s="9" t="s">
        <v>1479</v>
      </c>
      <c r="D315" s="4" t="s">
        <v>817</v>
      </c>
      <c r="E315" s="14" t="s">
        <v>817</v>
      </c>
      <c r="F315" s="14" t="s">
        <v>818</v>
      </c>
      <c r="G315" s="14" t="s">
        <v>816</v>
      </c>
      <c r="H315" s="9" t="s">
        <v>1666</v>
      </c>
      <c r="I315" s="3">
        <v>551902.54268797126</v>
      </c>
      <c r="J315" s="3">
        <v>150271.80577513209</v>
      </c>
      <c r="K315" s="3">
        <f t="shared" si="10"/>
        <v>702174.34846310341</v>
      </c>
      <c r="L315" s="3">
        <f>IFERROR(INDEX('CHIRP Payment Calc'!K:K,MATCH(A:A,'CHIRP Payment Calc'!A:A,0)),0)</f>
        <v>834540.42875370954</v>
      </c>
      <c r="M315" s="3">
        <f t="shared" si="11"/>
        <v>-132366.08029060613</v>
      </c>
    </row>
    <row r="316" spans="1:13">
      <c r="A316" s="9" t="s">
        <v>707</v>
      </c>
      <c r="B316" s="9" t="s">
        <v>1486</v>
      </c>
      <c r="C316" s="9" t="s">
        <v>1479</v>
      </c>
      <c r="D316" s="4" t="s">
        <v>708</v>
      </c>
      <c r="E316" s="14" t="s">
        <v>708</v>
      </c>
      <c r="F316" s="14" t="s">
        <v>709</v>
      </c>
      <c r="G316" s="14" t="s">
        <v>707</v>
      </c>
      <c r="H316" s="9" t="s">
        <v>1692</v>
      </c>
      <c r="I316" s="3">
        <v>261883.58096322443</v>
      </c>
      <c r="J316" s="3">
        <v>265072.62522249238</v>
      </c>
      <c r="K316" s="3">
        <f t="shared" si="10"/>
        <v>526956.20618571679</v>
      </c>
      <c r="L316" s="3">
        <f>IFERROR(INDEX('CHIRP Payment Calc'!K:K,MATCH(A:A,'CHIRP Payment Calc'!A:A,0)),0)</f>
        <v>650782.56955082889</v>
      </c>
      <c r="M316" s="3">
        <f t="shared" si="11"/>
        <v>-123826.36336511211</v>
      </c>
    </row>
    <row r="317" spans="1:13">
      <c r="A317" s="9" t="s">
        <v>1107</v>
      </c>
      <c r="B317" s="9" t="s">
        <v>1486</v>
      </c>
      <c r="C317" s="9" t="s">
        <v>1479</v>
      </c>
      <c r="D317" s="4" t="s">
        <v>1108</v>
      </c>
      <c r="E317" s="14" t="s">
        <v>1108</v>
      </c>
      <c r="F317" s="14" t="s">
        <v>1109</v>
      </c>
      <c r="G317" s="14" t="s">
        <v>1107</v>
      </c>
      <c r="H317" s="9" t="s">
        <v>1982</v>
      </c>
      <c r="I317" s="3">
        <v>1756400.5873024163</v>
      </c>
      <c r="J317" s="3">
        <v>766551.74168372434</v>
      </c>
      <c r="K317" s="3">
        <f t="shared" si="10"/>
        <v>2522952.3289861409</v>
      </c>
      <c r="L317" s="3">
        <f>IFERROR(INDEX('CHIRP Payment Calc'!K:K,MATCH(A:A,'CHIRP Payment Calc'!A:A,0)),0)</f>
        <v>3142180.2143027424</v>
      </c>
      <c r="M317" s="3">
        <f t="shared" si="11"/>
        <v>-619227.88531660149</v>
      </c>
    </row>
    <row r="318" spans="1:13">
      <c r="A318" s="9" t="s">
        <v>768</v>
      </c>
      <c r="B318" s="9" t="s">
        <v>1486</v>
      </c>
      <c r="C318" s="9" t="s">
        <v>1545</v>
      </c>
      <c r="D318" s="4" t="s">
        <v>769</v>
      </c>
      <c r="E318" s="14" t="s">
        <v>769</v>
      </c>
      <c r="F318" s="14" t="s">
        <v>770</v>
      </c>
      <c r="G318" s="14" t="s">
        <v>768</v>
      </c>
      <c r="H318" s="9" t="s">
        <v>1981</v>
      </c>
      <c r="I318" s="3">
        <v>492480.91654727765</v>
      </c>
      <c r="J318" s="3">
        <v>140232.03255222391</v>
      </c>
      <c r="K318" s="3">
        <f t="shared" si="10"/>
        <v>632712.94909950159</v>
      </c>
      <c r="L318" s="3">
        <f>IFERROR(INDEX('CHIRP Payment Calc'!K:K,MATCH(A:A,'CHIRP Payment Calc'!A:A,0)),0)</f>
        <v>966534.47670613113</v>
      </c>
      <c r="M318" s="3">
        <f t="shared" si="11"/>
        <v>-333821.52760662953</v>
      </c>
    </row>
    <row r="319" spans="1:13">
      <c r="A319" s="9" t="s">
        <v>2056</v>
      </c>
      <c r="B319" s="9" t="s">
        <v>1514</v>
      </c>
      <c r="C319" s="9" t="s">
        <v>1796</v>
      </c>
      <c r="D319" s="4" t="s">
        <v>2057</v>
      </c>
      <c r="E319" s="14" t="s">
        <v>2309</v>
      </c>
      <c r="F319" s="14" t="e">
        <v>#N/A</v>
      </c>
      <c r="G319" s="14" t="s">
        <v>2056</v>
      </c>
      <c r="H319" s="9" t="s">
        <v>2055</v>
      </c>
      <c r="I319" s="3">
        <v>0</v>
      </c>
      <c r="J319" s="3">
        <v>0</v>
      </c>
      <c r="K319" s="3">
        <f t="shared" si="10"/>
        <v>0</v>
      </c>
      <c r="L319" s="3">
        <f>IFERROR(INDEX('CHIRP Payment Calc'!K:K,MATCH(A:A,'CHIRP Payment Calc'!A:A,0)),0)</f>
        <v>5273.7962239365661</v>
      </c>
      <c r="M319" s="3">
        <f t="shared" si="11"/>
        <v>-5273.7962239365661</v>
      </c>
    </row>
    <row r="320" spans="1:13">
      <c r="A320" s="9" t="s">
        <v>159</v>
      </c>
      <c r="B320" s="9" t="s">
        <v>1486</v>
      </c>
      <c r="C320" s="9" t="s">
        <v>1545</v>
      </c>
      <c r="D320" s="4" t="s">
        <v>160</v>
      </c>
      <c r="E320" s="14" t="s">
        <v>160</v>
      </c>
      <c r="F320" s="14" t="s">
        <v>161</v>
      </c>
      <c r="G320" s="14" t="s">
        <v>159</v>
      </c>
      <c r="H320" s="9" t="s">
        <v>1979</v>
      </c>
      <c r="I320" s="3">
        <v>330433.93565917155</v>
      </c>
      <c r="J320" s="3">
        <v>316216.48456009908</v>
      </c>
      <c r="K320" s="3">
        <f t="shared" si="10"/>
        <v>646650.42021927063</v>
      </c>
      <c r="L320" s="3">
        <f>IFERROR(INDEX('CHIRP Payment Calc'!K:K,MATCH(A:A,'CHIRP Payment Calc'!A:A,0)),0)</f>
        <v>0</v>
      </c>
      <c r="M320" s="3">
        <f t="shared" si="11"/>
        <v>646650.42021927063</v>
      </c>
    </row>
    <row r="321" spans="1:13">
      <c r="A321" s="9" t="s">
        <v>97</v>
      </c>
      <c r="B321" s="9" t="s">
        <v>1486</v>
      </c>
      <c r="C321" s="9" t="s">
        <v>1545</v>
      </c>
      <c r="D321" s="4" t="s">
        <v>98</v>
      </c>
      <c r="E321" s="14" t="s">
        <v>98</v>
      </c>
      <c r="F321" s="14" t="s">
        <v>99</v>
      </c>
      <c r="G321" s="14" t="s">
        <v>97</v>
      </c>
      <c r="H321" s="9" t="s">
        <v>1698</v>
      </c>
      <c r="I321" s="3">
        <v>1246820.7021018348</v>
      </c>
      <c r="J321" s="3">
        <v>523841.01216475753</v>
      </c>
      <c r="K321" s="3">
        <f t="shared" si="10"/>
        <v>1770661.7142665924</v>
      </c>
      <c r="L321" s="3">
        <f>IFERROR(INDEX('CHIRP Payment Calc'!K:K,MATCH(A:A,'CHIRP Payment Calc'!A:A,0)),0)</f>
        <v>3025788.3538178266</v>
      </c>
      <c r="M321" s="3">
        <f t="shared" si="11"/>
        <v>-1255126.6395512342</v>
      </c>
    </row>
    <row r="322" spans="1:13">
      <c r="A322" s="9" t="s">
        <v>1050</v>
      </c>
      <c r="B322" s="9" t="s">
        <v>1486</v>
      </c>
      <c r="C322" s="9" t="s">
        <v>1545</v>
      </c>
      <c r="D322" s="4" t="s">
        <v>1051</v>
      </c>
      <c r="E322" s="14" t="s">
        <v>1051</v>
      </c>
      <c r="F322" s="14" t="s">
        <v>1052</v>
      </c>
      <c r="G322" s="14" t="s">
        <v>1050</v>
      </c>
      <c r="H322" s="9" t="s">
        <v>1978</v>
      </c>
      <c r="I322" s="3">
        <v>152053.7996455206</v>
      </c>
      <c r="J322" s="3">
        <v>103882.70368588342</v>
      </c>
      <c r="K322" s="3">
        <f t="shared" si="10"/>
        <v>255936.503331404</v>
      </c>
      <c r="L322" s="3">
        <f>IFERROR(INDEX('CHIRP Payment Calc'!K:K,MATCH(A:A,'CHIRP Payment Calc'!A:A,0)),0)</f>
        <v>336448.84652408736</v>
      </c>
      <c r="M322" s="3">
        <f t="shared" si="11"/>
        <v>-80512.343192683358</v>
      </c>
    </row>
    <row r="323" spans="1:13">
      <c r="A323" s="9" t="s">
        <v>88</v>
      </c>
      <c r="B323" s="9" t="s">
        <v>1486</v>
      </c>
      <c r="C323" s="9" t="s">
        <v>1545</v>
      </c>
      <c r="D323" s="4" t="s">
        <v>89</v>
      </c>
      <c r="E323" s="14" t="s">
        <v>89</v>
      </c>
      <c r="F323" s="14" t="s">
        <v>90</v>
      </c>
      <c r="G323" s="14" t="s">
        <v>88</v>
      </c>
      <c r="H323" s="9" t="s">
        <v>1977</v>
      </c>
      <c r="I323" s="3">
        <v>453030.23254648573</v>
      </c>
      <c r="J323" s="3">
        <v>381638.3660866954</v>
      </c>
      <c r="K323" s="3">
        <f t="shared" si="10"/>
        <v>834668.59863318107</v>
      </c>
      <c r="L323" s="3">
        <f>IFERROR(INDEX('CHIRP Payment Calc'!K:K,MATCH(A:A,'CHIRP Payment Calc'!A:A,0)),0)</f>
        <v>1271028.9844374026</v>
      </c>
      <c r="M323" s="3">
        <f t="shared" si="11"/>
        <v>-436360.3858042215</v>
      </c>
    </row>
    <row r="324" spans="1:13">
      <c r="A324" s="9" t="s">
        <v>804</v>
      </c>
      <c r="B324" s="9" t="s">
        <v>1486</v>
      </c>
      <c r="C324" s="9" t="s">
        <v>1545</v>
      </c>
      <c r="D324" s="4" t="s">
        <v>805</v>
      </c>
      <c r="E324" s="14" t="s">
        <v>805</v>
      </c>
      <c r="F324" s="14" t="s">
        <v>806</v>
      </c>
      <c r="G324" s="14" t="s">
        <v>804</v>
      </c>
      <c r="H324" s="9" t="s">
        <v>1670</v>
      </c>
      <c r="I324" s="3">
        <v>648307.14057220356</v>
      </c>
      <c r="J324" s="3">
        <v>425141.21455731691</v>
      </c>
      <c r="K324" s="3">
        <f t="shared" si="10"/>
        <v>1073448.3551295204</v>
      </c>
      <c r="L324" s="3">
        <f>IFERROR(INDEX('CHIRP Payment Calc'!K:K,MATCH(A:A,'CHIRP Payment Calc'!A:A,0)),0)</f>
        <v>1439315.4214337065</v>
      </c>
      <c r="M324" s="3">
        <f t="shared" si="11"/>
        <v>-365867.06630418613</v>
      </c>
    </row>
    <row r="325" spans="1:13">
      <c r="A325" s="9" t="s">
        <v>1183</v>
      </c>
      <c r="B325" s="9" t="s">
        <v>1486</v>
      </c>
      <c r="C325" s="9" t="s">
        <v>1545</v>
      </c>
      <c r="D325" s="4" t="s">
        <v>1184</v>
      </c>
      <c r="E325" s="14" t="s">
        <v>1184</v>
      </c>
      <c r="F325" s="14" t="s">
        <v>1185</v>
      </c>
      <c r="G325" s="14" t="s">
        <v>1183</v>
      </c>
      <c r="H325" s="9" t="s">
        <v>1572</v>
      </c>
      <c r="I325" s="3">
        <v>318570.37228371372</v>
      </c>
      <c r="J325" s="3">
        <v>289579.65376946208</v>
      </c>
      <c r="K325" s="3">
        <f t="shared" si="10"/>
        <v>608150.0260531758</v>
      </c>
      <c r="L325" s="3">
        <f>IFERROR(INDEX('CHIRP Payment Calc'!K:K,MATCH(A:A,'CHIRP Payment Calc'!A:A,0)),0)</f>
        <v>849790.58086844231</v>
      </c>
      <c r="M325" s="3">
        <f t="shared" si="11"/>
        <v>-241640.55481526651</v>
      </c>
    </row>
    <row r="326" spans="1:13">
      <c r="A326" s="9" t="s">
        <v>719</v>
      </c>
      <c r="B326" s="9" t="s">
        <v>1486</v>
      </c>
      <c r="C326" s="9" t="s">
        <v>1545</v>
      </c>
      <c r="D326" s="4" t="s">
        <v>720</v>
      </c>
      <c r="E326" s="14" t="s">
        <v>720</v>
      </c>
      <c r="F326" s="14" t="s">
        <v>721</v>
      </c>
      <c r="G326" s="14" t="s">
        <v>719</v>
      </c>
      <c r="H326" s="9" t="s">
        <v>1976</v>
      </c>
      <c r="I326" s="3">
        <v>619749.15795878822</v>
      </c>
      <c r="J326" s="3">
        <v>294027.61397767789</v>
      </c>
      <c r="K326" s="3">
        <f t="shared" si="10"/>
        <v>913776.7719364661</v>
      </c>
      <c r="L326" s="3">
        <f>IFERROR(INDEX('CHIRP Payment Calc'!K:K,MATCH(A:A,'CHIRP Payment Calc'!A:A,0)),0)</f>
        <v>0</v>
      </c>
      <c r="M326" s="3">
        <f t="shared" si="11"/>
        <v>913776.7719364661</v>
      </c>
    </row>
    <row r="327" spans="1:13">
      <c r="A327" s="9" t="s">
        <v>40</v>
      </c>
      <c r="B327" s="9" t="s">
        <v>1486</v>
      </c>
      <c r="C327" s="9" t="s">
        <v>1545</v>
      </c>
      <c r="D327" s="4" t="s">
        <v>1686</v>
      </c>
      <c r="E327" s="14" t="s">
        <v>41</v>
      </c>
      <c r="F327" s="14" t="s">
        <v>42</v>
      </c>
      <c r="G327" s="14" t="s">
        <v>40</v>
      </c>
      <c r="H327" s="9" t="s">
        <v>1975</v>
      </c>
      <c r="I327" s="3">
        <v>394920.76762868924</v>
      </c>
      <c r="J327" s="3">
        <v>201954.7805788065</v>
      </c>
      <c r="K327" s="3">
        <f t="shared" si="10"/>
        <v>596875.54820749571</v>
      </c>
      <c r="L327" s="3">
        <f>IFERROR(INDEX('CHIRP Payment Calc'!K:K,MATCH(A:A,'CHIRP Payment Calc'!A:A,0)),0)</f>
        <v>152998.81553749181</v>
      </c>
      <c r="M327" s="3">
        <f t="shared" si="11"/>
        <v>443876.7326700039</v>
      </c>
    </row>
    <row r="328" spans="1:13">
      <c r="A328" s="9" t="s">
        <v>795</v>
      </c>
      <c r="B328" s="9" t="s">
        <v>1486</v>
      </c>
      <c r="C328" s="9" t="s">
        <v>1545</v>
      </c>
      <c r="D328" s="4" t="s">
        <v>796</v>
      </c>
      <c r="E328" s="14" t="s">
        <v>796</v>
      </c>
      <c r="F328" s="14" t="s">
        <v>797</v>
      </c>
      <c r="G328" s="14" t="s">
        <v>795</v>
      </c>
      <c r="H328" s="9" t="s">
        <v>1738</v>
      </c>
      <c r="I328" s="3">
        <v>146580.16697673849</v>
      </c>
      <c r="J328" s="3">
        <v>44218.377234495871</v>
      </c>
      <c r="K328" s="3">
        <f t="shared" ref="K328:K391" si="12">I328+J328</f>
        <v>190798.54421123437</v>
      </c>
      <c r="L328" s="3">
        <f>IFERROR(INDEX('CHIRP Payment Calc'!K:K,MATCH(A:A,'CHIRP Payment Calc'!A:A,0)),0)</f>
        <v>300759.17295934749</v>
      </c>
      <c r="M328" s="3">
        <f t="shared" ref="M328:M391" si="13">K328-L328</f>
        <v>-109960.62874811311</v>
      </c>
    </row>
    <row r="329" spans="1:13">
      <c r="A329" s="9" t="s">
        <v>1209</v>
      </c>
      <c r="B329" s="9" t="s">
        <v>310</v>
      </c>
      <c r="C329" s="9" t="s">
        <v>1796</v>
      </c>
      <c r="D329" s="4" t="s">
        <v>1210</v>
      </c>
      <c r="E329" s="14" t="s">
        <v>1210</v>
      </c>
      <c r="F329" s="14" t="s">
        <v>1211</v>
      </c>
      <c r="G329" s="14" t="s">
        <v>1209</v>
      </c>
      <c r="H329" s="9" t="s">
        <v>1974</v>
      </c>
      <c r="I329" s="3">
        <v>0</v>
      </c>
      <c r="J329" s="3">
        <v>0</v>
      </c>
      <c r="K329" s="3">
        <f t="shared" si="12"/>
        <v>0</v>
      </c>
      <c r="L329" s="3">
        <f>IFERROR(INDEX('CHIRP Payment Calc'!K:K,MATCH(A:A,'CHIRP Payment Calc'!A:A,0)),0)</f>
        <v>0</v>
      </c>
      <c r="M329" s="3">
        <f t="shared" si="13"/>
        <v>0</v>
      </c>
    </row>
    <row r="330" spans="1:13">
      <c r="A330" s="9" t="s">
        <v>1291</v>
      </c>
      <c r="B330" s="9" t="s">
        <v>310</v>
      </c>
      <c r="C330" s="9" t="s">
        <v>1796</v>
      </c>
      <c r="D330" s="4" t="s">
        <v>1292</v>
      </c>
      <c r="E330" s="14" t="s">
        <v>1292</v>
      </c>
      <c r="F330" s="14" t="s">
        <v>1293</v>
      </c>
      <c r="G330" s="14" t="s">
        <v>1291</v>
      </c>
      <c r="H330" s="9" t="s">
        <v>1973</v>
      </c>
      <c r="I330" s="3">
        <v>0</v>
      </c>
      <c r="J330" s="3">
        <v>0</v>
      </c>
      <c r="K330" s="3">
        <f t="shared" si="12"/>
        <v>0</v>
      </c>
      <c r="L330" s="3">
        <f>IFERROR(INDEX('CHIRP Payment Calc'!K:K,MATCH(A:A,'CHIRP Payment Calc'!A:A,0)),0)</f>
        <v>0</v>
      </c>
      <c r="M330" s="3">
        <f t="shared" si="13"/>
        <v>0</v>
      </c>
    </row>
    <row r="331" spans="1:13">
      <c r="A331" s="9" t="s">
        <v>1568</v>
      </c>
      <c r="B331" s="9" t="s">
        <v>310</v>
      </c>
      <c r="C331" s="9" t="s">
        <v>222</v>
      </c>
      <c r="D331" s="4" t="s">
        <v>1617</v>
      </c>
      <c r="E331" s="14" t="s">
        <v>1617</v>
      </c>
      <c r="F331" s="14" t="s">
        <v>1361</v>
      </c>
      <c r="G331" s="14" t="s">
        <v>1568</v>
      </c>
      <c r="H331" s="9" t="s">
        <v>1972</v>
      </c>
      <c r="I331" s="3">
        <v>1164623.3967322006</v>
      </c>
      <c r="J331" s="3">
        <v>1906412.0034701002</v>
      </c>
      <c r="K331" s="3">
        <f t="shared" si="12"/>
        <v>3071035.4002023009</v>
      </c>
      <c r="L331" s="3">
        <f>IFERROR(INDEX('CHIRP Payment Calc'!K:K,MATCH(A:A,'CHIRP Payment Calc'!A:A,0)),0)</f>
        <v>4081561.5598881096</v>
      </c>
      <c r="M331" s="3">
        <f t="shared" si="13"/>
        <v>-1010526.1596858087</v>
      </c>
    </row>
    <row r="332" spans="1:13">
      <c r="A332" s="9" t="s">
        <v>307</v>
      </c>
      <c r="B332" s="9" t="s">
        <v>310</v>
      </c>
      <c r="C332" s="9" t="s">
        <v>222</v>
      </c>
      <c r="D332" s="4" t="s">
        <v>308</v>
      </c>
      <c r="E332" s="14" t="s">
        <v>308</v>
      </c>
      <c r="F332" s="14" t="s">
        <v>309</v>
      </c>
      <c r="G332" s="14" t="s">
        <v>307</v>
      </c>
      <c r="H332" s="9" t="s">
        <v>1971</v>
      </c>
      <c r="I332" s="3">
        <v>0</v>
      </c>
      <c r="J332" s="3">
        <v>0</v>
      </c>
      <c r="K332" s="3">
        <f t="shared" si="12"/>
        <v>0</v>
      </c>
      <c r="L332" s="3">
        <f>IFERROR(INDEX('CHIRP Payment Calc'!K:K,MATCH(A:A,'CHIRP Payment Calc'!A:A,0)),0)</f>
        <v>0</v>
      </c>
      <c r="M332" s="3">
        <f t="shared" si="13"/>
        <v>0</v>
      </c>
    </row>
    <row r="333" spans="1:13">
      <c r="A333" s="9" t="s">
        <v>536</v>
      </c>
      <c r="B333" s="9" t="s">
        <v>310</v>
      </c>
      <c r="C333" s="9" t="s">
        <v>222</v>
      </c>
      <c r="D333" s="4" t="s">
        <v>537</v>
      </c>
      <c r="E333" s="14" t="s">
        <v>537</v>
      </c>
      <c r="F333" s="14" t="s">
        <v>538</v>
      </c>
      <c r="G333" s="14" t="s">
        <v>536</v>
      </c>
      <c r="H333" s="9" t="s">
        <v>1970</v>
      </c>
      <c r="I333" s="3">
        <v>1229269.85881147</v>
      </c>
      <c r="J333" s="3">
        <v>1082318.590056207</v>
      </c>
      <c r="K333" s="3">
        <f t="shared" si="12"/>
        <v>2311588.4488676768</v>
      </c>
      <c r="L333" s="3">
        <f>IFERROR(INDEX('CHIRP Payment Calc'!K:K,MATCH(A:A,'CHIRP Payment Calc'!A:A,0)),0)</f>
        <v>3742650.1450859336</v>
      </c>
      <c r="M333" s="3">
        <f t="shared" si="13"/>
        <v>-1431061.6962182568</v>
      </c>
    </row>
    <row r="334" spans="1:13">
      <c r="A334" s="9" t="s">
        <v>64</v>
      </c>
      <c r="B334" s="9" t="s">
        <v>310</v>
      </c>
      <c r="C334" s="9" t="s">
        <v>222</v>
      </c>
      <c r="D334" s="4" t="s">
        <v>65</v>
      </c>
      <c r="E334" s="14" t="s">
        <v>65</v>
      </c>
      <c r="F334" s="14" t="s">
        <v>66</v>
      </c>
      <c r="G334" s="14" t="s">
        <v>64</v>
      </c>
      <c r="H334" s="9" t="s">
        <v>1969</v>
      </c>
      <c r="I334" s="3">
        <v>8753119.2682800833</v>
      </c>
      <c r="J334" s="3">
        <v>8698849.4477112014</v>
      </c>
      <c r="K334" s="3">
        <f t="shared" si="12"/>
        <v>17451968.715991285</v>
      </c>
      <c r="L334" s="3">
        <f>IFERROR(INDEX('CHIRP Payment Calc'!K:K,MATCH(A:A,'CHIRP Payment Calc'!A:A,0)),0)</f>
        <v>18059219.295241624</v>
      </c>
      <c r="M334" s="3">
        <f t="shared" si="13"/>
        <v>-607250.57925033942</v>
      </c>
    </row>
    <row r="335" spans="1:13">
      <c r="A335" s="9" t="s">
        <v>1500</v>
      </c>
      <c r="B335" s="9" t="s">
        <v>310</v>
      </c>
      <c r="C335" s="9" t="s">
        <v>222</v>
      </c>
      <c r="D335" s="4" t="s">
        <v>1501</v>
      </c>
      <c r="E335" s="14" t="s">
        <v>1501</v>
      </c>
      <c r="F335" s="14" t="s">
        <v>1502</v>
      </c>
      <c r="G335" s="14" t="s">
        <v>1500</v>
      </c>
      <c r="H335" s="9" t="s">
        <v>1968</v>
      </c>
      <c r="I335" s="3">
        <v>61221.281828364707</v>
      </c>
      <c r="J335" s="3">
        <v>66501.305904292472</v>
      </c>
      <c r="K335" s="3">
        <f t="shared" si="12"/>
        <v>127722.58773265718</v>
      </c>
      <c r="L335" s="3">
        <f>IFERROR(INDEX('CHIRP Payment Calc'!K:K,MATCH(A:A,'CHIRP Payment Calc'!A:A,0)),0)</f>
        <v>214005.00752152345</v>
      </c>
      <c r="M335" s="3">
        <f t="shared" si="13"/>
        <v>-86282.419788866275</v>
      </c>
    </row>
    <row r="336" spans="1:13">
      <c r="A336" s="9" t="s">
        <v>82</v>
      </c>
      <c r="B336" s="9" t="s">
        <v>310</v>
      </c>
      <c r="C336" s="9" t="s">
        <v>222</v>
      </c>
      <c r="D336" s="4" t="s">
        <v>83</v>
      </c>
      <c r="E336" s="14" t="s">
        <v>83</v>
      </c>
      <c r="F336" s="14" t="s">
        <v>84</v>
      </c>
      <c r="G336" s="14" t="s">
        <v>82</v>
      </c>
      <c r="H336" s="9" t="s">
        <v>84</v>
      </c>
      <c r="I336" s="3">
        <v>0</v>
      </c>
      <c r="J336" s="3">
        <v>0</v>
      </c>
      <c r="K336" s="3">
        <f t="shared" si="12"/>
        <v>0</v>
      </c>
      <c r="L336" s="3">
        <f>IFERROR(INDEX('CHIRP Payment Calc'!K:K,MATCH(A:A,'CHIRP Payment Calc'!A:A,0)),0)</f>
        <v>0</v>
      </c>
      <c r="M336" s="3">
        <f t="shared" si="13"/>
        <v>0</v>
      </c>
    </row>
    <row r="337" spans="1:13">
      <c r="A337" s="9" t="s">
        <v>959</v>
      </c>
      <c r="B337" s="9" t="s">
        <v>310</v>
      </c>
      <c r="C337" s="9" t="s">
        <v>222</v>
      </c>
      <c r="D337" s="4" t="s">
        <v>960</v>
      </c>
      <c r="E337" s="14" t="s">
        <v>960</v>
      </c>
      <c r="F337" s="14" t="s">
        <v>961</v>
      </c>
      <c r="G337" s="14" t="s">
        <v>959</v>
      </c>
      <c r="H337" s="9" t="s">
        <v>1967</v>
      </c>
      <c r="I337" s="3">
        <v>0</v>
      </c>
      <c r="J337" s="3">
        <v>0</v>
      </c>
      <c r="K337" s="3">
        <f t="shared" si="12"/>
        <v>0</v>
      </c>
      <c r="L337" s="3">
        <f>IFERROR(INDEX('CHIRP Payment Calc'!K:K,MATCH(A:A,'CHIRP Payment Calc'!A:A,0)),0)</f>
        <v>0</v>
      </c>
      <c r="M337" s="3">
        <f t="shared" si="13"/>
        <v>0</v>
      </c>
    </row>
    <row r="338" spans="1:13">
      <c r="A338" s="9" t="s">
        <v>177</v>
      </c>
      <c r="B338" s="9" t="s">
        <v>310</v>
      </c>
      <c r="C338" s="9" t="s">
        <v>222</v>
      </c>
      <c r="D338" s="4" t="s">
        <v>178</v>
      </c>
      <c r="E338" s="14" t="s">
        <v>178</v>
      </c>
      <c r="F338" s="14" t="s">
        <v>179</v>
      </c>
      <c r="G338" s="14" t="s">
        <v>177</v>
      </c>
      <c r="H338" s="9" t="s">
        <v>1966</v>
      </c>
      <c r="I338" s="3">
        <v>254100.30946137867</v>
      </c>
      <c r="J338" s="3">
        <v>2923.9997137300847</v>
      </c>
      <c r="K338" s="3">
        <f t="shared" si="12"/>
        <v>257024.30917510876</v>
      </c>
      <c r="L338" s="3">
        <f>IFERROR(INDEX('CHIRP Payment Calc'!K:K,MATCH(A:A,'CHIRP Payment Calc'!A:A,0)),0)</f>
        <v>0</v>
      </c>
      <c r="M338" s="3">
        <f t="shared" si="13"/>
        <v>257024.30917510876</v>
      </c>
    </row>
    <row r="339" spans="1:13">
      <c r="A339" s="9" t="s">
        <v>67</v>
      </c>
      <c r="B339" s="9" t="s">
        <v>310</v>
      </c>
      <c r="C339" s="9" t="s">
        <v>222</v>
      </c>
      <c r="D339" s="4" t="s">
        <v>68</v>
      </c>
      <c r="E339" s="14" t="s">
        <v>68</v>
      </c>
      <c r="F339" s="14" t="s">
        <v>69</v>
      </c>
      <c r="G339" s="14" t="s">
        <v>67</v>
      </c>
      <c r="H339" s="9" t="s">
        <v>1965</v>
      </c>
      <c r="I339" s="3">
        <v>3268515.982343819</v>
      </c>
      <c r="J339" s="3">
        <v>3137583.7178336154</v>
      </c>
      <c r="K339" s="3">
        <f t="shared" si="12"/>
        <v>6406099.7001774348</v>
      </c>
      <c r="L339" s="3">
        <f>IFERROR(INDEX('CHIRP Payment Calc'!K:K,MATCH(A:A,'CHIRP Payment Calc'!A:A,0)),0)</f>
        <v>6740348.0726059237</v>
      </c>
      <c r="M339" s="3">
        <f t="shared" si="13"/>
        <v>-334248.37242848892</v>
      </c>
    </row>
    <row r="340" spans="1:13">
      <c r="A340" s="9" t="s">
        <v>1518</v>
      </c>
      <c r="B340" s="9" t="s">
        <v>310</v>
      </c>
      <c r="C340" s="9" t="s">
        <v>222</v>
      </c>
      <c r="D340" s="4" t="s">
        <v>1519</v>
      </c>
      <c r="E340" s="14" t="s">
        <v>1519</v>
      </c>
      <c r="F340" s="14" t="s">
        <v>1520</v>
      </c>
      <c r="G340" s="14" t="s">
        <v>1518</v>
      </c>
      <c r="H340" s="9" t="s">
        <v>1520</v>
      </c>
      <c r="I340" s="3">
        <v>0</v>
      </c>
      <c r="J340" s="3">
        <v>0</v>
      </c>
      <c r="K340" s="3">
        <f t="shared" si="12"/>
        <v>0</v>
      </c>
      <c r="L340" s="3">
        <f>IFERROR(INDEX('CHIRP Payment Calc'!K:K,MATCH(A:A,'CHIRP Payment Calc'!A:A,0)),0)</f>
        <v>197851.43157090415</v>
      </c>
      <c r="M340" s="3">
        <f t="shared" si="13"/>
        <v>-197851.43157090415</v>
      </c>
    </row>
    <row r="341" spans="1:13">
      <c r="A341" s="9" t="s">
        <v>459</v>
      </c>
      <c r="B341" s="9" t="s">
        <v>310</v>
      </c>
      <c r="C341" s="9" t="s">
        <v>222</v>
      </c>
      <c r="D341" s="4" t="s">
        <v>460</v>
      </c>
      <c r="E341" s="14" t="s">
        <v>460</v>
      </c>
      <c r="F341" s="14" t="s">
        <v>461</v>
      </c>
      <c r="G341" s="14" t="s">
        <v>459</v>
      </c>
      <c r="H341" s="9" t="s">
        <v>1964</v>
      </c>
      <c r="I341" s="3">
        <v>5048812.3836262841</v>
      </c>
      <c r="J341" s="3">
        <v>9382092.3203014135</v>
      </c>
      <c r="K341" s="3">
        <f t="shared" si="12"/>
        <v>14430904.703927698</v>
      </c>
      <c r="L341" s="3">
        <f>IFERROR(INDEX('CHIRP Payment Calc'!K:K,MATCH(A:A,'CHIRP Payment Calc'!A:A,0)),0)</f>
        <v>16193226.859351309</v>
      </c>
      <c r="M341" s="3">
        <f t="shared" si="13"/>
        <v>-1762322.1554236114</v>
      </c>
    </row>
    <row r="342" spans="1:13">
      <c r="A342" s="9" t="s">
        <v>16</v>
      </c>
      <c r="B342" s="9" t="s">
        <v>310</v>
      </c>
      <c r="C342" s="9" t="s">
        <v>222</v>
      </c>
      <c r="D342" s="4" t="s">
        <v>17</v>
      </c>
      <c r="E342" s="14" t="s">
        <v>17</v>
      </c>
      <c r="F342" s="14" t="s">
        <v>18</v>
      </c>
      <c r="G342" s="14" t="s">
        <v>16</v>
      </c>
      <c r="H342" s="9" t="s">
        <v>1963</v>
      </c>
      <c r="I342" s="3">
        <v>2577195.7107133102</v>
      </c>
      <c r="J342" s="3">
        <v>1857351.33667386</v>
      </c>
      <c r="K342" s="3">
        <f t="shared" si="12"/>
        <v>4434547.0473871697</v>
      </c>
      <c r="L342" s="3">
        <f>IFERROR(INDEX('CHIRP Payment Calc'!K:K,MATCH(A:A,'CHIRP Payment Calc'!A:A,0)),0)</f>
        <v>9037809.0426886939</v>
      </c>
      <c r="M342" s="3">
        <f t="shared" si="13"/>
        <v>-4603261.9953015242</v>
      </c>
    </row>
    <row r="343" spans="1:13">
      <c r="A343" s="9" t="s">
        <v>1381</v>
      </c>
      <c r="B343" s="9" t="s">
        <v>310</v>
      </c>
      <c r="C343" s="9" t="s">
        <v>222</v>
      </c>
      <c r="D343" s="4" t="s">
        <v>1382</v>
      </c>
      <c r="E343" s="14" t="s">
        <v>1382</v>
      </c>
      <c r="F343" s="14" t="s">
        <v>1383</v>
      </c>
      <c r="G343" s="14" t="s">
        <v>1381</v>
      </c>
      <c r="H343" s="9" t="s">
        <v>1962</v>
      </c>
      <c r="I343" s="3">
        <v>33638.315803138554</v>
      </c>
      <c r="J343" s="3">
        <v>65075.716235155858</v>
      </c>
      <c r="K343" s="3">
        <f t="shared" si="12"/>
        <v>98714.032038294419</v>
      </c>
      <c r="L343" s="3">
        <f>IFERROR(INDEX('CHIRP Payment Calc'!K:K,MATCH(A:A,'CHIRP Payment Calc'!A:A,0)),0)</f>
        <v>100998.13930023782</v>
      </c>
      <c r="M343" s="3">
        <f t="shared" si="13"/>
        <v>-2284.107261943398</v>
      </c>
    </row>
    <row r="344" spans="1:13">
      <c r="A344" s="9" t="s">
        <v>807</v>
      </c>
      <c r="B344" s="9" t="s">
        <v>310</v>
      </c>
      <c r="C344" s="9" t="s">
        <v>222</v>
      </c>
      <c r="D344" s="4" t="s">
        <v>808</v>
      </c>
      <c r="E344" s="14" t="s">
        <v>808</v>
      </c>
      <c r="F344" s="14" t="s">
        <v>809</v>
      </c>
      <c r="G344" s="14" t="s">
        <v>807</v>
      </c>
      <c r="H344" s="9" t="s">
        <v>1961</v>
      </c>
      <c r="I344" s="3">
        <v>6137506.7505649319</v>
      </c>
      <c r="J344" s="3">
        <v>2984804.8416085434</v>
      </c>
      <c r="K344" s="3">
        <f t="shared" si="12"/>
        <v>9122311.5921734758</v>
      </c>
      <c r="L344" s="3">
        <f>IFERROR(INDEX('CHIRP Payment Calc'!K:K,MATCH(A:A,'CHIRP Payment Calc'!A:A,0)),0)</f>
        <v>12385589.128961183</v>
      </c>
      <c r="M344" s="3">
        <f t="shared" si="13"/>
        <v>-3263277.5367877074</v>
      </c>
    </row>
    <row r="345" spans="1:13">
      <c r="A345" s="9" t="s">
        <v>407</v>
      </c>
      <c r="B345" s="9" t="s">
        <v>310</v>
      </c>
      <c r="C345" s="9" t="s">
        <v>222</v>
      </c>
      <c r="D345" s="4" t="s">
        <v>1960</v>
      </c>
      <c r="E345" s="14" t="s">
        <v>408</v>
      </c>
      <c r="F345" s="14" t="s">
        <v>409</v>
      </c>
      <c r="G345" s="14" t="s">
        <v>407</v>
      </c>
      <c r="H345" s="9" t="s">
        <v>1959</v>
      </c>
      <c r="I345" s="3">
        <v>0</v>
      </c>
      <c r="J345" s="3">
        <v>0</v>
      </c>
      <c r="K345" s="3">
        <f t="shared" si="12"/>
        <v>0</v>
      </c>
      <c r="L345" s="3">
        <f>IFERROR(INDEX('CHIRP Payment Calc'!K:K,MATCH(A:A,'CHIRP Payment Calc'!A:A,0)),0)</f>
        <v>0</v>
      </c>
      <c r="M345" s="3">
        <f t="shared" si="13"/>
        <v>0</v>
      </c>
    </row>
    <row r="346" spans="1:13">
      <c r="A346" s="9" t="s">
        <v>1459</v>
      </c>
      <c r="B346" s="9" t="s">
        <v>310</v>
      </c>
      <c r="C346" s="9" t="s">
        <v>222</v>
      </c>
      <c r="D346" s="4" t="s">
        <v>1460</v>
      </c>
      <c r="E346" s="14" t="s">
        <v>1460</v>
      </c>
      <c r="F346" s="14" t="s">
        <v>1461</v>
      </c>
      <c r="G346" s="14" t="s">
        <v>1459</v>
      </c>
      <c r="H346" s="9" t="s">
        <v>1461</v>
      </c>
      <c r="I346" s="3">
        <v>6082.895174405714</v>
      </c>
      <c r="J346" s="3">
        <v>0</v>
      </c>
      <c r="K346" s="3">
        <f t="shared" si="12"/>
        <v>6082.895174405714</v>
      </c>
      <c r="L346" s="3">
        <f>IFERROR(INDEX('CHIRP Payment Calc'!K:K,MATCH(A:A,'CHIRP Payment Calc'!A:A,0)),0)</f>
        <v>13583.640359133953</v>
      </c>
      <c r="M346" s="3">
        <f t="shared" si="13"/>
        <v>-7500.7451847282391</v>
      </c>
    </row>
    <row r="347" spans="1:13">
      <c r="A347" s="9" t="s">
        <v>898</v>
      </c>
      <c r="B347" s="9" t="s">
        <v>310</v>
      </c>
      <c r="C347" s="9" t="s">
        <v>222</v>
      </c>
      <c r="D347" s="4" t="s">
        <v>899</v>
      </c>
      <c r="E347" s="14" t="s">
        <v>899</v>
      </c>
      <c r="F347" s="14" t="s">
        <v>900</v>
      </c>
      <c r="G347" s="14" t="s">
        <v>898</v>
      </c>
      <c r="H347" s="9" t="s">
        <v>1958</v>
      </c>
      <c r="I347" s="3">
        <v>11669925.477340676</v>
      </c>
      <c r="J347" s="3">
        <v>7876663.2529584458</v>
      </c>
      <c r="K347" s="3">
        <f t="shared" si="12"/>
        <v>19546588.730299123</v>
      </c>
      <c r="L347" s="3">
        <f>IFERROR(INDEX('CHIRP Payment Calc'!K:K,MATCH(A:A,'CHIRP Payment Calc'!A:A,0)),0)</f>
        <v>23868991.510998927</v>
      </c>
      <c r="M347" s="3">
        <f t="shared" si="13"/>
        <v>-4322402.7806998044</v>
      </c>
    </row>
    <row r="348" spans="1:13">
      <c r="A348" s="9" t="s">
        <v>1687</v>
      </c>
      <c r="B348" s="9" t="s">
        <v>310</v>
      </c>
      <c r="C348" s="9" t="s">
        <v>222</v>
      </c>
      <c r="D348" s="4" t="s">
        <v>1688</v>
      </c>
      <c r="E348" s="14" t="s">
        <v>1688</v>
      </c>
      <c r="F348" s="14" t="e">
        <v>#N/A</v>
      </c>
      <c r="G348" s="14" t="s">
        <v>1687</v>
      </c>
      <c r="H348" s="9" t="s">
        <v>1957</v>
      </c>
      <c r="I348" s="3">
        <v>0</v>
      </c>
      <c r="J348" s="3">
        <v>0</v>
      </c>
      <c r="K348" s="3">
        <f t="shared" si="12"/>
        <v>0</v>
      </c>
      <c r="L348" s="3">
        <f>IFERROR(INDEX('CHIRP Payment Calc'!K:K,MATCH(A:A,'CHIRP Payment Calc'!A:A,0)),0)</f>
        <v>0</v>
      </c>
      <c r="M348" s="3">
        <f t="shared" si="13"/>
        <v>0</v>
      </c>
    </row>
    <row r="349" spans="1:13">
      <c r="A349" s="9" t="s">
        <v>1566</v>
      </c>
      <c r="B349" s="9" t="s">
        <v>310</v>
      </c>
      <c r="C349" s="9" t="s">
        <v>222</v>
      </c>
      <c r="D349" s="4" t="s">
        <v>1590</v>
      </c>
      <c r="E349" s="14" t="s">
        <v>1590</v>
      </c>
      <c r="F349" s="14" t="s">
        <v>1352</v>
      </c>
      <c r="G349" s="14" t="s">
        <v>1566</v>
      </c>
      <c r="H349" s="9" t="s">
        <v>1956</v>
      </c>
      <c r="I349" s="3">
        <v>4620822.9423630964</v>
      </c>
      <c r="J349" s="3">
        <v>4822287.6835169103</v>
      </c>
      <c r="K349" s="3">
        <f t="shared" si="12"/>
        <v>9443110.6258800067</v>
      </c>
      <c r="L349" s="3">
        <f>IFERROR(INDEX('CHIRP Payment Calc'!K:K,MATCH(A:A,'CHIRP Payment Calc'!A:A,0)),0)</f>
        <v>13484529.981399003</v>
      </c>
      <c r="M349" s="3">
        <f t="shared" si="13"/>
        <v>-4041419.3555189967</v>
      </c>
    </row>
    <row r="350" spans="1:13">
      <c r="A350" s="9" t="s">
        <v>383</v>
      </c>
      <c r="B350" s="9" t="s">
        <v>310</v>
      </c>
      <c r="C350" s="9" t="s">
        <v>222</v>
      </c>
      <c r="D350" s="4" t="s">
        <v>384</v>
      </c>
      <c r="E350" s="14" t="s">
        <v>384</v>
      </c>
      <c r="F350" s="14" t="s">
        <v>385</v>
      </c>
      <c r="G350" s="14" t="s">
        <v>383</v>
      </c>
      <c r="H350" s="9" t="s">
        <v>1955</v>
      </c>
      <c r="I350" s="3">
        <v>0</v>
      </c>
      <c r="J350" s="3">
        <v>0</v>
      </c>
      <c r="K350" s="3">
        <f t="shared" si="12"/>
        <v>0</v>
      </c>
      <c r="L350" s="3">
        <f>IFERROR(INDEX('CHIRP Payment Calc'!K:K,MATCH(A:A,'CHIRP Payment Calc'!A:A,0)),0)</f>
        <v>0</v>
      </c>
      <c r="M350" s="3">
        <f t="shared" si="13"/>
        <v>0</v>
      </c>
    </row>
    <row r="351" spans="1:13">
      <c r="A351" s="9" t="s">
        <v>440</v>
      </c>
      <c r="B351" s="9" t="s">
        <v>310</v>
      </c>
      <c r="C351" s="9" t="s">
        <v>222</v>
      </c>
      <c r="D351" s="4" t="s">
        <v>441</v>
      </c>
      <c r="E351" s="14" t="s">
        <v>441</v>
      </c>
      <c r="F351" s="14" t="s">
        <v>442</v>
      </c>
      <c r="G351" s="14" t="s">
        <v>440</v>
      </c>
      <c r="H351" s="9" t="s">
        <v>1593</v>
      </c>
      <c r="I351" s="3">
        <v>411991.2147960919</v>
      </c>
      <c r="J351" s="3">
        <v>258005.80203303212</v>
      </c>
      <c r="K351" s="3">
        <f t="shared" si="12"/>
        <v>669997.01682912395</v>
      </c>
      <c r="L351" s="3">
        <f>IFERROR(INDEX('CHIRP Payment Calc'!K:K,MATCH(A:A,'CHIRP Payment Calc'!A:A,0)),0)</f>
        <v>0</v>
      </c>
      <c r="M351" s="3">
        <f t="shared" si="13"/>
        <v>669997.01682912395</v>
      </c>
    </row>
    <row r="352" spans="1:13">
      <c r="A352" s="9" t="s">
        <v>596</v>
      </c>
      <c r="B352" s="9" t="s">
        <v>310</v>
      </c>
      <c r="C352" s="9" t="s">
        <v>1479</v>
      </c>
      <c r="D352" s="4" t="s">
        <v>597</v>
      </c>
      <c r="E352" s="14" t="s">
        <v>597</v>
      </c>
      <c r="F352" s="14" t="s">
        <v>598</v>
      </c>
      <c r="G352" s="14" t="s">
        <v>596</v>
      </c>
      <c r="H352" s="9" t="s">
        <v>598</v>
      </c>
      <c r="I352" s="3">
        <v>3688154.1833483954</v>
      </c>
      <c r="J352" s="3">
        <v>2895796.2367365644</v>
      </c>
      <c r="K352" s="3">
        <f t="shared" si="12"/>
        <v>6583950.4200849598</v>
      </c>
      <c r="L352" s="3">
        <f>IFERROR(INDEX('CHIRP Payment Calc'!K:K,MATCH(A:A,'CHIRP Payment Calc'!A:A,0)),0)</f>
        <v>6862081.8412527125</v>
      </c>
      <c r="M352" s="3">
        <f t="shared" si="13"/>
        <v>-278131.42116775271</v>
      </c>
    </row>
    <row r="353" spans="1:13">
      <c r="A353" s="9" t="s">
        <v>1336</v>
      </c>
      <c r="B353" s="9" t="s">
        <v>310</v>
      </c>
      <c r="C353" s="9" t="s">
        <v>1479</v>
      </c>
      <c r="D353" s="4" t="s">
        <v>1337</v>
      </c>
      <c r="E353" s="14" t="s">
        <v>1337</v>
      </c>
      <c r="F353" s="14" t="s">
        <v>1338</v>
      </c>
      <c r="G353" s="14" t="s">
        <v>1336</v>
      </c>
      <c r="H353" s="9" t="s">
        <v>1954</v>
      </c>
      <c r="I353" s="3">
        <v>3185644.5544160604</v>
      </c>
      <c r="J353" s="3">
        <v>3795740.8522036588</v>
      </c>
      <c r="K353" s="3">
        <f t="shared" si="12"/>
        <v>6981385.4066197192</v>
      </c>
      <c r="L353" s="3">
        <f>IFERROR(INDEX('CHIRP Payment Calc'!K:K,MATCH(A:A,'CHIRP Payment Calc'!A:A,0)),0)</f>
        <v>7936904.8063446824</v>
      </c>
      <c r="M353" s="3">
        <f t="shared" si="13"/>
        <v>-955519.39972496312</v>
      </c>
    </row>
    <row r="354" spans="1:13">
      <c r="A354" s="9" t="s">
        <v>1577</v>
      </c>
      <c r="B354" s="9" t="s">
        <v>1365</v>
      </c>
      <c r="C354" s="9" t="s">
        <v>222</v>
      </c>
      <c r="D354" s="4" t="s">
        <v>1578</v>
      </c>
      <c r="E354" s="14" t="s">
        <v>1578</v>
      </c>
      <c r="F354" s="14" t="e">
        <v>#N/A</v>
      </c>
      <c r="G354" s="14" t="s">
        <v>1577</v>
      </c>
      <c r="H354" s="9" t="s">
        <v>1576</v>
      </c>
      <c r="I354" s="3">
        <v>81801.188194159899</v>
      </c>
      <c r="J354" s="3">
        <v>34139.167701757928</v>
      </c>
      <c r="K354" s="3">
        <f t="shared" si="12"/>
        <v>115940.35589591783</v>
      </c>
      <c r="L354" s="3">
        <f>IFERROR(INDEX('CHIRP Payment Calc'!K:K,MATCH(A:A,'CHIRP Payment Calc'!A:A,0)),0)</f>
        <v>0</v>
      </c>
      <c r="M354" s="3">
        <f t="shared" si="13"/>
        <v>115940.35589591783</v>
      </c>
    </row>
    <row r="355" spans="1:13">
      <c r="A355" s="9" t="s">
        <v>1557</v>
      </c>
      <c r="B355" s="9" t="s">
        <v>310</v>
      </c>
      <c r="C355" s="9" t="s">
        <v>1479</v>
      </c>
      <c r="D355" s="4" t="s">
        <v>1643</v>
      </c>
      <c r="E355" s="14" t="s">
        <v>1643</v>
      </c>
      <c r="F355" s="14" t="s">
        <v>907</v>
      </c>
      <c r="G355" s="14" t="s">
        <v>1557</v>
      </c>
      <c r="H355" s="9" t="s">
        <v>1952</v>
      </c>
      <c r="I355" s="3">
        <v>3374916.9778811336</v>
      </c>
      <c r="J355" s="3">
        <v>1620643.8590377891</v>
      </c>
      <c r="K355" s="3">
        <f t="shared" si="12"/>
        <v>4995560.8369189221</v>
      </c>
      <c r="L355" s="3">
        <f>IFERROR(INDEX('CHIRP Payment Calc'!K:K,MATCH(A:A,'CHIRP Payment Calc'!A:A,0)),0)</f>
        <v>6500621.6535816668</v>
      </c>
      <c r="M355" s="3">
        <f t="shared" si="13"/>
        <v>-1505060.8166627446</v>
      </c>
    </row>
    <row r="356" spans="1:13">
      <c r="A356" s="9" t="s">
        <v>320</v>
      </c>
      <c r="B356" s="9" t="s">
        <v>310</v>
      </c>
      <c r="C356" s="9" t="s">
        <v>1479</v>
      </c>
      <c r="D356" s="4" t="s">
        <v>321</v>
      </c>
      <c r="E356" s="14" t="s">
        <v>321</v>
      </c>
      <c r="F356" s="14" t="s">
        <v>322</v>
      </c>
      <c r="G356" s="14" t="s">
        <v>320</v>
      </c>
      <c r="H356" s="9" t="s">
        <v>1951</v>
      </c>
      <c r="I356" s="3">
        <v>626987.98267431429</v>
      </c>
      <c r="J356" s="3">
        <v>657879.2054486851</v>
      </c>
      <c r="K356" s="3">
        <f t="shared" si="12"/>
        <v>1284867.1881229994</v>
      </c>
      <c r="L356" s="3">
        <f>IFERROR(INDEX('CHIRP Payment Calc'!K:K,MATCH(A:A,'CHIRP Payment Calc'!A:A,0)),0)</f>
        <v>2296054.2271873583</v>
      </c>
      <c r="M356" s="3">
        <f t="shared" si="13"/>
        <v>-1011187.0390643589</v>
      </c>
    </row>
    <row r="357" spans="1:13">
      <c r="A357" s="9" t="s">
        <v>174</v>
      </c>
      <c r="B357" s="9" t="s">
        <v>310</v>
      </c>
      <c r="C357" s="9" t="s">
        <v>1479</v>
      </c>
      <c r="D357" s="4" t="s">
        <v>175</v>
      </c>
      <c r="E357" s="14" t="s">
        <v>175</v>
      </c>
      <c r="F357" s="14" t="s">
        <v>176</v>
      </c>
      <c r="G357" s="14" t="s">
        <v>174</v>
      </c>
      <c r="H357" s="9" t="s">
        <v>1950</v>
      </c>
      <c r="I357" s="3">
        <v>2760258.2274223925</v>
      </c>
      <c r="J357" s="3">
        <v>893155.5981001273</v>
      </c>
      <c r="K357" s="3">
        <f t="shared" si="12"/>
        <v>3653413.8255225196</v>
      </c>
      <c r="L357" s="3">
        <f>IFERROR(INDEX('CHIRP Payment Calc'!K:K,MATCH(A:A,'CHIRP Payment Calc'!A:A,0)),0)</f>
        <v>9398567.1276636664</v>
      </c>
      <c r="M357" s="3">
        <f t="shared" si="13"/>
        <v>-5745153.3021411467</v>
      </c>
    </row>
    <row r="358" spans="1:13">
      <c r="A358" s="9" t="s">
        <v>853</v>
      </c>
      <c r="B358" s="9" t="s">
        <v>310</v>
      </c>
      <c r="C358" s="9" t="s">
        <v>1479</v>
      </c>
      <c r="D358" s="4" t="s">
        <v>854</v>
      </c>
      <c r="E358" s="14" t="s">
        <v>854</v>
      </c>
      <c r="F358" s="14" t="s">
        <v>855</v>
      </c>
      <c r="G358" s="14" t="s">
        <v>853</v>
      </c>
      <c r="H358" s="9" t="s">
        <v>1949</v>
      </c>
      <c r="I358" s="3">
        <v>3004561.6120147682</v>
      </c>
      <c r="J358" s="3">
        <v>4195609.5966778481</v>
      </c>
      <c r="K358" s="3">
        <f t="shared" si="12"/>
        <v>7200171.2086926159</v>
      </c>
      <c r="L358" s="3">
        <f>IFERROR(INDEX('CHIRP Payment Calc'!K:K,MATCH(A:A,'CHIRP Payment Calc'!A:A,0)),0)</f>
        <v>7992612.5186331011</v>
      </c>
      <c r="M358" s="3">
        <f t="shared" si="13"/>
        <v>-792441.30994048528</v>
      </c>
    </row>
    <row r="359" spans="1:13">
      <c r="A359" s="9" t="s">
        <v>356</v>
      </c>
      <c r="B359" s="9" t="s">
        <v>310</v>
      </c>
      <c r="C359" s="9" t="s">
        <v>1479</v>
      </c>
      <c r="D359" s="4" t="s">
        <v>357</v>
      </c>
      <c r="E359" s="14" t="s">
        <v>357</v>
      </c>
      <c r="F359" s="14" t="s">
        <v>358</v>
      </c>
      <c r="G359" s="14" t="s">
        <v>356</v>
      </c>
      <c r="H359" s="9" t="s">
        <v>1948</v>
      </c>
      <c r="I359" s="3">
        <v>431724.14236996236</v>
      </c>
      <c r="J359" s="3">
        <v>435467.88102322677</v>
      </c>
      <c r="K359" s="3">
        <f t="shared" si="12"/>
        <v>867192.02339318907</v>
      </c>
      <c r="L359" s="3">
        <f>IFERROR(INDEX('CHIRP Payment Calc'!K:K,MATCH(A:A,'CHIRP Payment Calc'!A:A,0)),0)</f>
        <v>1138800.4749181885</v>
      </c>
      <c r="M359" s="3">
        <f t="shared" si="13"/>
        <v>-271608.45152499946</v>
      </c>
    </row>
    <row r="360" spans="1:13">
      <c r="A360" s="9" t="s">
        <v>1180</v>
      </c>
      <c r="B360" s="9" t="s">
        <v>310</v>
      </c>
      <c r="C360" s="9" t="s">
        <v>1479</v>
      </c>
      <c r="D360" s="4" t="s">
        <v>1181</v>
      </c>
      <c r="E360" s="14" t="s">
        <v>1181</v>
      </c>
      <c r="F360" s="14" t="s">
        <v>1182</v>
      </c>
      <c r="G360" s="14" t="s">
        <v>1180</v>
      </c>
      <c r="H360" s="9" t="s">
        <v>1573</v>
      </c>
      <c r="I360" s="3">
        <v>5401548.9373189611</v>
      </c>
      <c r="J360" s="3">
        <v>1703515.6826180858</v>
      </c>
      <c r="K360" s="3">
        <f t="shared" si="12"/>
        <v>7105064.6199370474</v>
      </c>
      <c r="L360" s="3">
        <f>IFERROR(INDEX('CHIRP Payment Calc'!K:K,MATCH(A:A,'CHIRP Payment Calc'!A:A,0)),0)</f>
        <v>12714686.06433212</v>
      </c>
      <c r="M360" s="3">
        <f t="shared" si="13"/>
        <v>-5609621.4443950728</v>
      </c>
    </row>
    <row r="361" spans="1:13">
      <c r="A361" s="9" t="s">
        <v>49</v>
      </c>
      <c r="B361" s="9" t="s">
        <v>310</v>
      </c>
      <c r="C361" s="9" t="s">
        <v>1479</v>
      </c>
      <c r="D361" s="4" t="s">
        <v>50</v>
      </c>
      <c r="E361" s="14" t="s">
        <v>50</v>
      </c>
      <c r="F361" s="14" t="s">
        <v>51</v>
      </c>
      <c r="G361" s="14" t="s">
        <v>49</v>
      </c>
      <c r="H361" s="9" t="s">
        <v>1947</v>
      </c>
      <c r="I361" s="3">
        <v>579382.2805158071</v>
      </c>
      <c r="J361" s="3">
        <v>611537.9873588382</v>
      </c>
      <c r="K361" s="3">
        <f t="shared" si="12"/>
        <v>1190920.2678746453</v>
      </c>
      <c r="L361" s="3">
        <f>IFERROR(INDEX('CHIRP Payment Calc'!K:K,MATCH(A:A,'CHIRP Payment Calc'!A:A,0)),0)</f>
        <v>1872415.2068628012</v>
      </c>
      <c r="M361" s="3">
        <f t="shared" si="13"/>
        <v>-681494.93898815592</v>
      </c>
    </row>
    <row r="362" spans="1:13">
      <c r="A362" s="9" t="s">
        <v>1751</v>
      </c>
      <c r="B362" s="9" t="s">
        <v>310</v>
      </c>
      <c r="C362" s="9" t="s">
        <v>1479</v>
      </c>
      <c r="D362" s="4" t="s">
        <v>1752</v>
      </c>
      <c r="E362" s="14" t="s">
        <v>1752</v>
      </c>
      <c r="F362" s="14" t="s">
        <v>1761</v>
      </c>
      <c r="G362" s="14" t="s">
        <v>1751</v>
      </c>
      <c r="H362" s="9" t="s">
        <v>1761</v>
      </c>
      <c r="I362" s="3">
        <v>0</v>
      </c>
      <c r="J362" s="3">
        <v>0</v>
      </c>
      <c r="K362" s="3">
        <f t="shared" si="12"/>
        <v>0</v>
      </c>
      <c r="L362" s="3">
        <f>IFERROR(INDEX('CHIRP Payment Calc'!K:K,MATCH(A:A,'CHIRP Payment Calc'!A:A,0)),0)</f>
        <v>0</v>
      </c>
      <c r="M362" s="3">
        <f t="shared" si="13"/>
        <v>0</v>
      </c>
    </row>
    <row r="363" spans="1:13">
      <c r="A363" s="9" t="s">
        <v>856</v>
      </c>
      <c r="B363" s="9" t="s">
        <v>310</v>
      </c>
      <c r="C363" s="9" t="s">
        <v>1479</v>
      </c>
      <c r="D363" s="4" t="s">
        <v>857</v>
      </c>
      <c r="E363" s="14" t="s">
        <v>857</v>
      </c>
      <c r="F363" s="14" t="s">
        <v>858</v>
      </c>
      <c r="G363" s="14" t="s">
        <v>856</v>
      </c>
      <c r="H363" s="9" t="s">
        <v>1659</v>
      </c>
      <c r="I363" s="3">
        <v>187149.29571072978</v>
      </c>
      <c r="J363" s="3">
        <v>125322.39775752598</v>
      </c>
      <c r="K363" s="3">
        <f t="shared" si="12"/>
        <v>312471.69346825575</v>
      </c>
      <c r="L363" s="3">
        <f>IFERROR(INDEX('CHIRP Payment Calc'!K:K,MATCH(A:A,'CHIRP Payment Calc'!A:A,0)),0)</f>
        <v>436175.94671394362</v>
      </c>
      <c r="M363" s="3">
        <f t="shared" si="13"/>
        <v>-123704.25324568787</v>
      </c>
    </row>
    <row r="364" spans="1:13">
      <c r="A364" s="9" t="s">
        <v>901</v>
      </c>
      <c r="B364" s="9" t="s">
        <v>310</v>
      </c>
      <c r="C364" s="9" t="s">
        <v>1479</v>
      </c>
      <c r="D364" s="4" t="s">
        <v>902</v>
      </c>
      <c r="E364" s="14" t="s">
        <v>902</v>
      </c>
      <c r="F364" s="14" t="s">
        <v>903</v>
      </c>
      <c r="G364" s="14" t="s">
        <v>901</v>
      </c>
      <c r="H364" s="9" t="s">
        <v>1656</v>
      </c>
      <c r="I364" s="3">
        <v>261409.89325499258</v>
      </c>
      <c r="J364" s="3">
        <v>235972.53670134925</v>
      </c>
      <c r="K364" s="3">
        <f t="shared" si="12"/>
        <v>497382.42995634186</v>
      </c>
      <c r="L364" s="3">
        <f>IFERROR(INDEX('CHIRP Payment Calc'!K:K,MATCH(A:A,'CHIRP Payment Calc'!A:A,0)),0)</f>
        <v>542277.10636867327</v>
      </c>
      <c r="M364" s="3">
        <f t="shared" si="13"/>
        <v>-44894.676412331406</v>
      </c>
    </row>
    <row r="365" spans="1:13">
      <c r="A365" s="9" t="s">
        <v>908</v>
      </c>
      <c r="B365" s="9" t="s">
        <v>310</v>
      </c>
      <c r="C365" s="9" t="s">
        <v>1479</v>
      </c>
      <c r="D365" s="4" t="s">
        <v>909</v>
      </c>
      <c r="E365" s="14" t="s">
        <v>909</v>
      </c>
      <c r="F365" s="14" t="s">
        <v>910</v>
      </c>
      <c r="G365" s="14" t="s">
        <v>908</v>
      </c>
      <c r="H365" s="9" t="s">
        <v>1655</v>
      </c>
      <c r="I365" s="3">
        <v>4176213.0995746921</v>
      </c>
      <c r="J365" s="3">
        <v>1726041.6130230105</v>
      </c>
      <c r="K365" s="3">
        <f t="shared" si="12"/>
        <v>5902254.7125977026</v>
      </c>
      <c r="L365" s="3">
        <f>IFERROR(INDEX('CHIRP Payment Calc'!K:K,MATCH(A:A,'CHIRP Payment Calc'!A:A,0)),0)</f>
        <v>8327120.32104587</v>
      </c>
      <c r="M365" s="3">
        <f t="shared" si="13"/>
        <v>-2424865.6084481673</v>
      </c>
    </row>
    <row r="366" spans="1:13">
      <c r="A366" s="9" t="s">
        <v>192</v>
      </c>
      <c r="B366" s="9" t="s">
        <v>310</v>
      </c>
      <c r="C366" s="9" t="s">
        <v>1479</v>
      </c>
      <c r="D366" s="4" t="s">
        <v>193</v>
      </c>
      <c r="E366" s="14" t="s">
        <v>193</v>
      </c>
      <c r="F366" s="14" t="s">
        <v>194</v>
      </c>
      <c r="G366" s="14" t="s">
        <v>192</v>
      </c>
      <c r="H366" s="9" t="s">
        <v>1946</v>
      </c>
      <c r="I366" s="3">
        <v>3672717.3969227541</v>
      </c>
      <c r="J366" s="3">
        <v>800615.45612434542</v>
      </c>
      <c r="K366" s="3">
        <f t="shared" si="12"/>
        <v>4473332.8530470999</v>
      </c>
      <c r="L366" s="3">
        <f>IFERROR(INDEX('CHIRP Payment Calc'!K:K,MATCH(A:A,'CHIRP Payment Calc'!A:A,0)),0)</f>
        <v>10041863.951345237</v>
      </c>
      <c r="M366" s="3">
        <f t="shared" si="13"/>
        <v>-5568531.0982981371</v>
      </c>
    </row>
    <row r="367" spans="1:13">
      <c r="A367" s="9" t="s">
        <v>344</v>
      </c>
      <c r="B367" s="9" t="s">
        <v>310</v>
      </c>
      <c r="C367" s="9" t="s">
        <v>1479</v>
      </c>
      <c r="D367" s="4" t="s">
        <v>345</v>
      </c>
      <c r="E367" s="14" t="s">
        <v>345</v>
      </c>
      <c r="F367" s="14" t="s">
        <v>346</v>
      </c>
      <c r="G367" s="14" t="s">
        <v>344</v>
      </c>
      <c r="H367" s="9" t="s">
        <v>1945</v>
      </c>
      <c r="I367" s="3">
        <v>179157.28777045675</v>
      </c>
      <c r="J367" s="3">
        <v>138944.88865231775</v>
      </c>
      <c r="K367" s="3">
        <f t="shared" si="12"/>
        <v>318102.1764227745</v>
      </c>
      <c r="L367" s="3">
        <f>IFERROR(INDEX('CHIRP Payment Calc'!K:K,MATCH(A:A,'CHIRP Payment Calc'!A:A,0)),0)</f>
        <v>498019.44133980072</v>
      </c>
      <c r="M367" s="3">
        <f t="shared" si="13"/>
        <v>-179917.26491702622</v>
      </c>
    </row>
    <row r="368" spans="1:13">
      <c r="A368" s="9" t="s">
        <v>288</v>
      </c>
      <c r="B368" s="9" t="s">
        <v>310</v>
      </c>
      <c r="C368" s="9" t="s">
        <v>1479</v>
      </c>
      <c r="D368" s="4" t="s">
        <v>289</v>
      </c>
      <c r="E368" s="14" t="s">
        <v>289</v>
      </c>
      <c r="F368" s="14" t="s">
        <v>290</v>
      </c>
      <c r="G368" s="14" t="s">
        <v>288</v>
      </c>
      <c r="H368" s="9" t="s">
        <v>1657</v>
      </c>
      <c r="I368" s="3">
        <v>603345.41493039462</v>
      </c>
      <c r="J368" s="3">
        <v>633862.70372317347</v>
      </c>
      <c r="K368" s="3">
        <f t="shared" si="12"/>
        <v>1237208.118653568</v>
      </c>
      <c r="L368" s="3">
        <f>IFERROR(INDEX('CHIRP Payment Calc'!K:K,MATCH(A:A,'CHIRP Payment Calc'!A:A,0)),0)</f>
        <v>1916090.738508591</v>
      </c>
      <c r="M368" s="3">
        <f t="shared" si="13"/>
        <v>-678882.61985502299</v>
      </c>
    </row>
    <row r="369" spans="1:13">
      <c r="A369" s="9" t="s">
        <v>1288</v>
      </c>
      <c r="B369" s="9" t="s">
        <v>310</v>
      </c>
      <c r="C369" s="9" t="s">
        <v>1545</v>
      </c>
      <c r="D369" s="4" t="s">
        <v>1289</v>
      </c>
      <c r="E369" s="14" t="s">
        <v>1289</v>
      </c>
      <c r="F369" s="14" t="s">
        <v>1290</v>
      </c>
      <c r="G369" s="14" t="s">
        <v>1288</v>
      </c>
      <c r="H369" s="9" t="s">
        <v>1944</v>
      </c>
      <c r="I369" s="3">
        <v>3703425.7614643681</v>
      </c>
      <c r="J369" s="3">
        <v>1661834.8678724146</v>
      </c>
      <c r="K369" s="3">
        <f t="shared" si="12"/>
        <v>5365260.6293367827</v>
      </c>
      <c r="L369" s="3">
        <f>IFERROR(INDEX('CHIRP Payment Calc'!K:K,MATCH(A:A,'CHIRP Payment Calc'!A:A,0)),0)</f>
        <v>8398786.8881151825</v>
      </c>
      <c r="M369" s="3">
        <f t="shared" si="13"/>
        <v>-3033526.2587783998</v>
      </c>
    </row>
    <row r="370" spans="1:13">
      <c r="A370" s="9" t="s">
        <v>920</v>
      </c>
      <c r="B370" s="9" t="s">
        <v>310</v>
      </c>
      <c r="C370" s="9" t="s">
        <v>1545</v>
      </c>
      <c r="D370" s="4" t="s">
        <v>921</v>
      </c>
      <c r="E370" s="14" t="s">
        <v>921</v>
      </c>
      <c r="F370" s="14" t="s">
        <v>922</v>
      </c>
      <c r="G370" s="14" t="s">
        <v>920</v>
      </c>
      <c r="H370" s="9" t="s">
        <v>1943</v>
      </c>
      <c r="I370" s="3">
        <v>107251.6556180803</v>
      </c>
      <c r="J370" s="3">
        <v>51982.14054506916</v>
      </c>
      <c r="K370" s="3">
        <f t="shared" si="12"/>
        <v>159233.79616314947</v>
      </c>
      <c r="L370" s="3">
        <f>IFERROR(INDEX('CHIRP Payment Calc'!K:K,MATCH(A:A,'CHIRP Payment Calc'!A:A,0)),0)</f>
        <v>165713.34879518981</v>
      </c>
      <c r="M370" s="3">
        <f t="shared" si="13"/>
        <v>-6479.5526320403442</v>
      </c>
    </row>
    <row r="371" spans="1:13">
      <c r="A371" s="9" t="s">
        <v>904</v>
      </c>
      <c r="B371" s="9" t="s">
        <v>310</v>
      </c>
      <c r="C371" s="9" t="s">
        <v>1545</v>
      </c>
      <c r="D371" s="4" t="s">
        <v>905</v>
      </c>
      <c r="E371" s="14" t="s">
        <v>905</v>
      </c>
      <c r="F371" s="14" t="s">
        <v>906</v>
      </c>
      <c r="G371" s="14" t="s">
        <v>904</v>
      </c>
      <c r="H371" s="9" t="s">
        <v>1942</v>
      </c>
      <c r="I371" s="3">
        <v>24402.196834611976</v>
      </c>
      <c r="J371" s="3">
        <v>31059.321346391276</v>
      </c>
      <c r="K371" s="3">
        <f t="shared" si="12"/>
        <v>55461.518181003252</v>
      </c>
      <c r="L371" s="3">
        <f>IFERROR(INDEX('CHIRP Payment Calc'!K:K,MATCH(A:A,'CHIRP Payment Calc'!A:A,0)),0)</f>
        <v>54192.82189105235</v>
      </c>
      <c r="M371" s="3">
        <f t="shared" si="13"/>
        <v>1268.6962899509017</v>
      </c>
    </row>
    <row r="372" spans="1:13">
      <c r="A372" s="9" t="s">
        <v>137</v>
      </c>
      <c r="B372" s="9" t="s">
        <v>310</v>
      </c>
      <c r="C372" s="9" t="s">
        <v>1545</v>
      </c>
      <c r="D372" s="4" t="s">
        <v>138</v>
      </c>
      <c r="E372" s="14" t="s">
        <v>138</v>
      </c>
      <c r="F372" s="14" t="s">
        <v>139</v>
      </c>
      <c r="G372" s="14" t="s">
        <v>137</v>
      </c>
      <c r="H372" s="9" t="s">
        <v>1941</v>
      </c>
      <c r="I372" s="3">
        <v>394154.18758049345</v>
      </c>
      <c r="J372" s="3">
        <v>316873.77491735684</v>
      </c>
      <c r="K372" s="3">
        <f t="shared" si="12"/>
        <v>711027.9624978503</v>
      </c>
      <c r="L372" s="3">
        <f>IFERROR(INDEX('CHIRP Payment Calc'!K:K,MATCH(A:A,'CHIRP Payment Calc'!A:A,0)),0)</f>
        <v>769101.9924391578</v>
      </c>
      <c r="M372" s="3">
        <f t="shared" si="13"/>
        <v>-58074.029941307497</v>
      </c>
    </row>
    <row r="373" spans="1:13">
      <c r="A373" s="9" t="s">
        <v>1122</v>
      </c>
      <c r="B373" s="9" t="s">
        <v>310</v>
      </c>
      <c r="C373" s="9" t="s">
        <v>1545</v>
      </c>
      <c r="D373" s="4" t="s">
        <v>1123</v>
      </c>
      <c r="E373" s="14" t="s">
        <v>1123</v>
      </c>
      <c r="F373" s="14" t="s">
        <v>1124</v>
      </c>
      <c r="G373" s="14" t="s">
        <v>1122</v>
      </c>
      <c r="H373" s="9" t="s">
        <v>1940</v>
      </c>
      <c r="I373" s="3">
        <v>3617993.6411699462</v>
      </c>
      <c r="J373" s="3">
        <v>2700884.2722300505</v>
      </c>
      <c r="K373" s="3">
        <f t="shared" si="12"/>
        <v>6318877.9133999962</v>
      </c>
      <c r="L373" s="3">
        <f>IFERROR(INDEX('CHIRP Payment Calc'!K:K,MATCH(A:A,'CHIRP Payment Calc'!A:A,0)),0)</f>
        <v>7638060.4182894733</v>
      </c>
      <c r="M373" s="3">
        <f t="shared" si="13"/>
        <v>-1319182.504889477</v>
      </c>
    </row>
    <row r="374" spans="1:13">
      <c r="A374" s="9" t="s">
        <v>152</v>
      </c>
      <c r="B374" s="9" t="s">
        <v>310</v>
      </c>
      <c r="C374" s="9" t="s">
        <v>1545</v>
      </c>
      <c r="D374" s="4" t="s">
        <v>153</v>
      </c>
      <c r="E374" s="14" t="s">
        <v>153</v>
      </c>
      <c r="F374" s="14" t="s">
        <v>154</v>
      </c>
      <c r="G374" s="14" t="s">
        <v>152</v>
      </c>
      <c r="H374" s="9" t="s">
        <v>1939</v>
      </c>
      <c r="I374" s="3">
        <v>736937.34509758803</v>
      </c>
      <c r="J374" s="3">
        <v>385595.49571883888</v>
      </c>
      <c r="K374" s="3">
        <f t="shared" si="12"/>
        <v>1122532.840816427</v>
      </c>
      <c r="L374" s="3">
        <f>IFERROR(INDEX('CHIRP Payment Calc'!K:K,MATCH(A:A,'CHIRP Payment Calc'!A:A,0)),0)</f>
        <v>1769355.64761545</v>
      </c>
      <c r="M374" s="3">
        <f t="shared" si="13"/>
        <v>-646822.80679902295</v>
      </c>
    </row>
    <row r="375" spans="1:13">
      <c r="A375" s="9" t="s">
        <v>1215</v>
      </c>
      <c r="B375" s="9" t="s">
        <v>227</v>
      </c>
      <c r="C375" s="9" t="s">
        <v>1796</v>
      </c>
      <c r="D375" s="4" t="s">
        <v>1216</v>
      </c>
      <c r="E375" s="14" t="s">
        <v>1216</v>
      </c>
      <c r="F375" s="14" t="s">
        <v>1217</v>
      </c>
      <c r="G375" s="14" t="s">
        <v>1215</v>
      </c>
      <c r="H375" s="9" t="s">
        <v>1937</v>
      </c>
      <c r="I375" s="3">
        <v>773423.70218273462</v>
      </c>
      <c r="J375" s="3">
        <v>0</v>
      </c>
      <c r="K375" s="3">
        <f t="shared" si="12"/>
        <v>773423.70218273462</v>
      </c>
      <c r="L375" s="3">
        <f>IFERROR(INDEX('CHIRP Payment Calc'!K:K,MATCH(A:A,'CHIRP Payment Calc'!A:A,0)),0)</f>
        <v>1167249.836648138</v>
      </c>
      <c r="M375" s="3">
        <f t="shared" si="13"/>
        <v>-393826.13446540339</v>
      </c>
    </row>
    <row r="376" spans="1:13">
      <c r="A376" s="9" t="s">
        <v>1297</v>
      </c>
      <c r="B376" s="9" t="s">
        <v>227</v>
      </c>
      <c r="C376" s="9" t="s">
        <v>1796</v>
      </c>
      <c r="D376" s="4" t="s">
        <v>1298</v>
      </c>
      <c r="E376" s="14" t="s">
        <v>1298</v>
      </c>
      <c r="F376" s="14" t="s">
        <v>1299</v>
      </c>
      <c r="G376" s="14" t="s">
        <v>1297</v>
      </c>
      <c r="H376" s="9" t="s">
        <v>1936</v>
      </c>
      <c r="I376" s="3">
        <v>654858.49251594965</v>
      </c>
      <c r="J376" s="3">
        <v>0</v>
      </c>
      <c r="K376" s="3">
        <f t="shared" si="12"/>
        <v>654858.49251594965</v>
      </c>
      <c r="L376" s="3">
        <f>IFERROR(INDEX('CHIRP Payment Calc'!K:K,MATCH(A:A,'CHIRP Payment Calc'!A:A,0)),0)</f>
        <v>1121425.2850891624</v>
      </c>
      <c r="M376" s="3">
        <f t="shared" si="13"/>
        <v>-466566.79257321276</v>
      </c>
    </row>
    <row r="377" spans="1:13">
      <c r="A377" s="9" t="s">
        <v>1300</v>
      </c>
      <c r="B377" s="9" t="s">
        <v>227</v>
      </c>
      <c r="C377" s="9" t="s">
        <v>1796</v>
      </c>
      <c r="D377" s="4" t="s">
        <v>1301</v>
      </c>
      <c r="E377" s="14" t="s">
        <v>1301</v>
      </c>
      <c r="F377" s="14" t="s">
        <v>1302</v>
      </c>
      <c r="G377" s="14" t="s">
        <v>1300</v>
      </c>
      <c r="H377" s="9" t="s">
        <v>1935</v>
      </c>
      <c r="I377" s="3">
        <v>1207805.2020545192</v>
      </c>
      <c r="J377" s="3">
        <v>0</v>
      </c>
      <c r="K377" s="3">
        <f t="shared" si="12"/>
        <v>1207805.2020545192</v>
      </c>
      <c r="L377" s="3">
        <f>IFERROR(INDEX('CHIRP Payment Calc'!K:K,MATCH(A:A,'CHIRP Payment Calc'!A:A,0)),0)</f>
        <v>1831352.9086453032</v>
      </c>
      <c r="M377" s="3">
        <f t="shared" si="13"/>
        <v>-623547.70659078402</v>
      </c>
    </row>
    <row r="378" spans="1:13">
      <c r="A378" s="9" t="s">
        <v>1282</v>
      </c>
      <c r="B378" s="9" t="s">
        <v>227</v>
      </c>
      <c r="C378" s="9" t="s">
        <v>1796</v>
      </c>
      <c r="D378" s="4" t="s">
        <v>1283</v>
      </c>
      <c r="E378" s="14" t="s">
        <v>1283</v>
      </c>
      <c r="F378" s="14" t="s">
        <v>1284</v>
      </c>
      <c r="G378" s="14" t="s">
        <v>1282</v>
      </c>
      <c r="H378" s="9" t="s">
        <v>1934</v>
      </c>
      <c r="I378" s="3">
        <v>783372.16170269484</v>
      </c>
      <c r="J378" s="3">
        <v>0</v>
      </c>
      <c r="K378" s="3">
        <f t="shared" si="12"/>
        <v>783372.16170269484</v>
      </c>
      <c r="L378" s="3">
        <f>IFERROR(INDEX('CHIRP Payment Calc'!K:K,MATCH(A:A,'CHIRP Payment Calc'!A:A,0)),0)</f>
        <v>1440533.553210709</v>
      </c>
      <c r="M378" s="3">
        <f t="shared" si="13"/>
        <v>-657161.39150801417</v>
      </c>
    </row>
    <row r="379" spans="1:13">
      <c r="A379" s="9" t="e">
        <v>#N/A</v>
      </c>
      <c r="B379" s="9" t="s">
        <v>227</v>
      </c>
      <c r="C379" s="9" t="s">
        <v>1796</v>
      </c>
      <c r="D379" s="4" t="s">
        <v>1933</v>
      </c>
      <c r="E379" s="14" t="e">
        <v>#N/A</v>
      </c>
      <c r="F379" s="14" t="e">
        <v>#N/A</v>
      </c>
      <c r="G379" s="14" t="e">
        <v>#N/A</v>
      </c>
      <c r="H379" s="9" t="s">
        <v>1932</v>
      </c>
      <c r="I379" s="3">
        <v>0</v>
      </c>
      <c r="J379" s="3">
        <v>0</v>
      </c>
      <c r="K379" s="3">
        <f t="shared" si="12"/>
        <v>0</v>
      </c>
      <c r="L379" s="3">
        <f>IFERROR(INDEX('CHIRP Payment Calc'!K:K,MATCH(A:A,'CHIRP Payment Calc'!A:A,0)),0)</f>
        <v>0</v>
      </c>
      <c r="M379" s="3">
        <f t="shared" si="13"/>
        <v>0</v>
      </c>
    </row>
    <row r="380" spans="1:13">
      <c r="A380" s="9" t="s">
        <v>889</v>
      </c>
      <c r="B380" s="9" t="s">
        <v>227</v>
      </c>
      <c r="C380" s="9" t="s">
        <v>1553</v>
      </c>
      <c r="D380" s="4" t="s">
        <v>890</v>
      </c>
      <c r="E380" s="14" t="s">
        <v>890</v>
      </c>
      <c r="F380" s="14" t="s">
        <v>891</v>
      </c>
      <c r="G380" s="14" t="s">
        <v>889</v>
      </c>
      <c r="H380" s="9" t="s">
        <v>1931</v>
      </c>
      <c r="I380" s="3">
        <v>5702938.453519538</v>
      </c>
      <c r="J380" s="3">
        <v>2069773.2441232542</v>
      </c>
      <c r="K380" s="3">
        <f t="shared" si="12"/>
        <v>7772711.697642792</v>
      </c>
      <c r="L380" s="3">
        <f>IFERROR(INDEX('CHIRP Payment Calc'!K:K,MATCH(A:A,'CHIRP Payment Calc'!A:A,0)),0)</f>
        <v>13113119.789792504</v>
      </c>
      <c r="M380" s="3">
        <f t="shared" si="13"/>
        <v>-5340408.0921497121</v>
      </c>
    </row>
    <row r="381" spans="1:13">
      <c r="A381" s="9" t="s">
        <v>462</v>
      </c>
      <c r="B381" s="9" t="s">
        <v>227</v>
      </c>
      <c r="C381" s="9" t="s">
        <v>222</v>
      </c>
      <c r="D381" s="4" t="s">
        <v>463</v>
      </c>
      <c r="E381" s="14" t="s">
        <v>463</v>
      </c>
      <c r="F381" s="14" t="s">
        <v>464</v>
      </c>
      <c r="G381" s="14" t="s">
        <v>462</v>
      </c>
      <c r="H381" s="9" t="s">
        <v>1589</v>
      </c>
      <c r="I381" s="3">
        <v>6991909.658882102</v>
      </c>
      <c r="J381" s="3">
        <v>7099276.7199749565</v>
      </c>
      <c r="K381" s="3">
        <f t="shared" si="12"/>
        <v>14091186.378857058</v>
      </c>
      <c r="L381" s="3">
        <f>IFERROR(INDEX('CHIRP Payment Calc'!K:K,MATCH(A:A,'CHIRP Payment Calc'!A:A,0)),0)</f>
        <v>19876489.196067743</v>
      </c>
      <c r="M381" s="3">
        <f t="shared" si="13"/>
        <v>-5785302.8172106855</v>
      </c>
    </row>
    <row r="382" spans="1:13">
      <c r="A382" s="9" t="e">
        <v>#N/A</v>
      </c>
      <c r="B382" s="9" t="s">
        <v>227</v>
      </c>
      <c r="C382" s="9" t="s">
        <v>222</v>
      </c>
      <c r="D382" s="4" t="s">
        <v>1930</v>
      </c>
      <c r="E382" s="14" t="e">
        <v>#N/A</v>
      </c>
      <c r="F382" s="14" t="e">
        <v>#N/A</v>
      </c>
      <c r="G382" s="14" t="e">
        <v>#N/A</v>
      </c>
      <c r="H382" s="9" t="s">
        <v>1929</v>
      </c>
      <c r="I382" s="3">
        <v>0</v>
      </c>
      <c r="J382" s="3">
        <v>0</v>
      </c>
      <c r="K382" s="3">
        <f t="shared" si="12"/>
        <v>0</v>
      </c>
      <c r="L382" s="3">
        <f>IFERROR(INDEX('CHIRP Payment Calc'!K:K,MATCH(A:A,'CHIRP Payment Calc'!A:A,0)),0)</f>
        <v>0</v>
      </c>
      <c r="M382" s="3">
        <f t="shared" si="13"/>
        <v>0</v>
      </c>
    </row>
    <row r="383" spans="1:13">
      <c r="A383" s="9" t="s">
        <v>998</v>
      </c>
      <c r="B383" s="9" t="s">
        <v>227</v>
      </c>
      <c r="C383" s="9" t="s">
        <v>222</v>
      </c>
      <c r="D383" s="4" t="s">
        <v>999</v>
      </c>
      <c r="E383" s="14" t="s">
        <v>999</v>
      </c>
      <c r="F383" s="14" t="s">
        <v>1000</v>
      </c>
      <c r="G383" s="14" t="s">
        <v>998</v>
      </c>
      <c r="H383" s="9" t="s">
        <v>1624</v>
      </c>
      <c r="I383" s="3">
        <v>2338168.0177647066</v>
      </c>
      <c r="J383" s="3">
        <v>854970.90812609799</v>
      </c>
      <c r="K383" s="3">
        <f t="shared" si="12"/>
        <v>3193138.9258908047</v>
      </c>
      <c r="L383" s="3">
        <f>IFERROR(INDEX('CHIRP Payment Calc'!K:K,MATCH(A:A,'CHIRP Payment Calc'!A:A,0)),0)</f>
        <v>0</v>
      </c>
      <c r="M383" s="3">
        <f t="shared" si="13"/>
        <v>3193138.9258908047</v>
      </c>
    </row>
    <row r="384" spans="1:13">
      <c r="A384" s="9" t="s">
        <v>1635</v>
      </c>
      <c r="B384" s="9" t="s">
        <v>227</v>
      </c>
      <c r="C384" s="9" t="s">
        <v>222</v>
      </c>
      <c r="D384" s="4" t="s">
        <v>1636</v>
      </c>
      <c r="E384" s="14" t="s">
        <v>1636</v>
      </c>
      <c r="F384" s="14" t="e">
        <v>#N/A</v>
      </c>
      <c r="G384" s="14" t="s">
        <v>1635</v>
      </c>
      <c r="H384" s="9" t="s">
        <v>1634</v>
      </c>
      <c r="I384" s="3">
        <v>0</v>
      </c>
      <c r="J384" s="3">
        <v>0</v>
      </c>
      <c r="K384" s="3">
        <f t="shared" si="12"/>
        <v>0</v>
      </c>
      <c r="L384" s="3">
        <f>IFERROR(INDEX('CHIRP Payment Calc'!K:K,MATCH(A:A,'CHIRP Payment Calc'!A:A,0)),0)</f>
        <v>0</v>
      </c>
      <c r="M384" s="3">
        <f t="shared" si="13"/>
        <v>0</v>
      </c>
    </row>
    <row r="385" spans="1:13">
      <c r="A385" s="9" t="s">
        <v>747</v>
      </c>
      <c r="B385" s="9" t="s">
        <v>227</v>
      </c>
      <c r="C385" s="9" t="s">
        <v>222</v>
      </c>
      <c r="D385" s="4" t="s">
        <v>748</v>
      </c>
      <c r="E385" s="14" t="s">
        <v>748</v>
      </c>
      <c r="F385" s="14" t="s">
        <v>749</v>
      </c>
      <c r="G385" s="14" t="s">
        <v>747</v>
      </c>
      <c r="H385" s="9" t="s">
        <v>1675</v>
      </c>
      <c r="I385" s="3">
        <v>9984394.998833416</v>
      </c>
      <c r="J385" s="3">
        <v>6833960.6791207343</v>
      </c>
      <c r="K385" s="3">
        <f t="shared" si="12"/>
        <v>16818355.677954152</v>
      </c>
      <c r="L385" s="3">
        <f>IFERROR(INDEX('CHIRP Payment Calc'!K:K,MATCH(A:A,'CHIRP Payment Calc'!A:A,0)),0)</f>
        <v>24645689.113017138</v>
      </c>
      <c r="M385" s="3">
        <f t="shared" si="13"/>
        <v>-7827333.4350629859</v>
      </c>
    </row>
    <row r="386" spans="1:13">
      <c r="A386" s="9" t="s">
        <v>79</v>
      </c>
      <c r="B386" s="9" t="s">
        <v>227</v>
      </c>
      <c r="C386" s="9" t="s">
        <v>222</v>
      </c>
      <c r="D386" s="4" t="s">
        <v>80</v>
      </c>
      <c r="E386" s="14" t="s">
        <v>80</v>
      </c>
      <c r="F386" s="14" t="s">
        <v>81</v>
      </c>
      <c r="G386" s="14" t="s">
        <v>79</v>
      </c>
      <c r="H386" s="9" t="s">
        <v>1928</v>
      </c>
      <c r="I386" s="3">
        <v>0</v>
      </c>
      <c r="J386" s="3">
        <v>0</v>
      </c>
      <c r="K386" s="3">
        <f t="shared" si="12"/>
        <v>0</v>
      </c>
      <c r="L386" s="3">
        <f>IFERROR(INDEX('CHIRP Payment Calc'!K:K,MATCH(A:A,'CHIRP Payment Calc'!A:A,0)),0)</f>
        <v>0</v>
      </c>
      <c r="M386" s="3">
        <f t="shared" si="13"/>
        <v>0</v>
      </c>
    </row>
    <row r="387" spans="1:13">
      <c r="A387" s="9" t="s">
        <v>1431</v>
      </c>
      <c r="B387" s="9" t="s">
        <v>227</v>
      </c>
      <c r="C387" s="9" t="s">
        <v>222</v>
      </c>
      <c r="D387" s="4" t="s">
        <v>1432</v>
      </c>
      <c r="E387" s="14" t="s">
        <v>1432</v>
      </c>
      <c r="F387" s="14" t="s">
        <v>1433</v>
      </c>
      <c r="G387" s="14" t="s">
        <v>1431</v>
      </c>
      <c r="H387" s="9" t="s">
        <v>1927</v>
      </c>
      <c r="I387" s="3">
        <v>11757.44384890457</v>
      </c>
      <c r="J387" s="3">
        <v>457518.4164730254</v>
      </c>
      <c r="K387" s="3">
        <f t="shared" si="12"/>
        <v>469275.86032192997</v>
      </c>
      <c r="L387" s="3">
        <f>IFERROR(INDEX('CHIRP Payment Calc'!K:K,MATCH(A:A,'CHIRP Payment Calc'!A:A,0)),0)</f>
        <v>813050.68179079262</v>
      </c>
      <c r="M387" s="3">
        <f t="shared" si="13"/>
        <v>-343774.82146886265</v>
      </c>
    </row>
    <row r="388" spans="1:13">
      <c r="A388" s="9" t="s">
        <v>198</v>
      </c>
      <c r="B388" s="9" t="s">
        <v>227</v>
      </c>
      <c r="C388" s="9" t="s">
        <v>222</v>
      </c>
      <c r="D388" s="4" t="s">
        <v>199</v>
      </c>
      <c r="E388" s="14" t="s">
        <v>199</v>
      </c>
      <c r="F388" s="14" t="s">
        <v>200</v>
      </c>
      <c r="G388" s="14" t="s">
        <v>198</v>
      </c>
      <c r="H388" s="9" t="s">
        <v>1926</v>
      </c>
      <c r="I388" s="3">
        <v>271304.17404332769</v>
      </c>
      <c r="J388" s="3">
        <v>133129.31750766383</v>
      </c>
      <c r="K388" s="3">
        <f t="shared" si="12"/>
        <v>404433.49155099154</v>
      </c>
      <c r="L388" s="3">
        <f>IFERROR(INDEX('CHIRP Payment Calc'!K:K,MATCH(A:A,'CHIRP Payment Calc'!A:A,0)),0)</f>
        <v>0</v>
      </c>
      <c r="M388" s="3">
        <f t="shared" si="13"/>
        <v>404433.49155099154</v>
      </c>
    </row>
    <row r="389" spans="1:13">
      <c r="A389" s="9" t="s">
        <v>1392</v>
      </c>
      <c r="B389" s="9" t="s">
        <v>227</v>
      </c>
      <c r="C389" s="9" t="s">
        <v>222</v>
      </c>
      <c r="D389" s="4" t="s">
        <v>1393</v>
      </c>
      <c r="E389" s="14" t="s">
        <v>1393</v>
      </c>
      <c r="F389" s="14" t="s">
        <v>1394</v>
      </c>
      <c r="G389" s="14" t="s">
        <v>1392</v>
      </c>
      <c r="H389" s="9" t="s">
        <v>1394</v>
      </c>
      <c r="I389" s="3">
        <v>0</v>
      </c>
      <c r="J389" s="3">
        <v>0</v>
      </c>
      <c r="K389" s="3">
        <f t="shared" si="12"/>
        <v>0</v>
      </c>
      <c r="L389" s="3">
        <f>IFERROR(INDEX('CHIRP Payment Calc'!K:K,MATCH(A:A,'CHIRP Payment Calc'!A:A,0)),0)</f>
        <v>0</v>
      </c>
      <c r="M389" s="3">
        <f t="shared" si="13"/>
        <v>0</v>
      </c>
    </row>
    <row r="390" spans="1:13">
      <c r="A390" s="9" t="s">
        <v>224</v>
      </c>
      <c r="B390" s="9" t="s">
        <v>227</v>
      </c>
      <c r="C390" s="9" t="s">
        <v>222</v>
      </c>
      <c r="D390" s="4" t="s">
        <v>225</v>
      </c>
      <c r="E390" s="14" t="s">
        <v>225</v>
      </c>
      <c r="F390" s="14" t="s">
        <v>226</v>
      </c>
      <c r="G390" s="14" t="s">
        <v>224</v>
      </c>
      <c r="H390" s="9" t="s">
        <v>1925</v>
      </c>
      <c r="I390" s="3">
        <v>0</v>
      </c>
      <c r="J390" s="3">
        <v>0</v>
      </c>
      <c r="K390" s="3">
        <f t="shared" si="12"/>
        <v>0</v>
      </c>
      <c r="L390" s="3">
        <f>IFERROR(INDEX('CHIRP Payment Calc'!K:K,MATCH(A:A,'CHIRP Payment Calc'!A:A,0)),0)</f>
        <v>0</v>
      </c>
      <c r="M390" s="3">
        <f t="shared" si="13"/>
        <v>0</v>
      </c>
    </row>
    <row r="391" spans="1:13">
      <c r="A391" s="9" t="s">
        <v>944</v>
      </c>
      <c r="B391" s="9" t="s">
        <v>227</v>
      </c>
      <c r="C391" s="9" t="s">
        <v>222</v>
      </c>
      <c r="D391" s="4" t="s">
        <v>945</v>
      </c>
      <c r="E391" s="14" t="s">
        <v>945</v>
      </c>
      <c r="F391" s="14" t="s">
        <v>946</v>
      </c>
      <c r="G391" s="14" t="s">
        <v>944</v>
      </c>
      <c r="H391" s="9" t="s">
        <v>1924</v>
      </c>
      <c r="I391" s="3">
        <v>9442065.3346805461</v>
      </c>
      <c r="J391" s="3">
        <v>846350.54600262758</v>
      </c>
      <c r="K391" s="3">
        <f t="shared" si="12"/>
        <v>10288415.880683174</v>
      </c>
      <c r="L391" s="3">
        <f>IFERROR(INDEX('CHIRP Payment Calc'!K:K,MATCH(A:A,'CHIRP Payment Calc'!A:A,0)),0)</f>
        <v>14226925.374723673</v>
      </c>
      <c r="M391" s="3">
        <f t="shared" si="13"/>
        <v>-3938509.4940404985</v>
      </c>
    </row>
    <row r="392" spans="1:13">
      <c r="A392" s="9" t="s">
        <v>1425</v>
      </c>
      <c r="B392" s="9" t="s">
        <v>227</v>
      </c>
      <c r="C392" s="9" t="s">
        <v>222</v>
      </c>
      <c r="D392" s="4" t="s">
        <v>1426</v>
      </c>
      <c r="E392" s="14" t="s">
        <v>1426</v>
      </c>
      <c r="F392" s="14" t="s">
        <v>1427</v>
      </c>
      <c r="G392" s="14" t="s">
        <v>1425</v>
      </c>
      <c r="H392" s="9" t="s">
        <v>1923</v>
      </c>
      <c r="I392" s="3">
        <v>68735.825578211327</v>
      </c>
      <c r="J392" s="3">
        <v>519311.84233092924</v>
      </c>
      <c r="K392" s="3">
        <f t="shared" ref="K392:K455" si="14">I392+J392</f>
        <v>588047.66790914058</v>
      </c>
      <c r="L392" s="3">
        <f>IFERROR(INDEX('CHIRP Payment Calc'!K:K,MATCH(A:A,'CHIRP Payment Calc'!A:A,0)),0)</f>
        <v>1006477.3265159216</v>
      </c>
      <c r="M392" s="3">
        <f t="shared" ref="M392:M455" si="15">K392-L392</f>
        <v>-418429.65860678104</v>
      </c>
    </row>
    <row r="393" spans="1:13">
      <c r="A393" s="9" t="s">
        <v>494</v>
      </c>
      <c r="B393" s="9" t="s">
        <v>227</v>
      </c>
      <c r="C393" s="9" t="s">
        <v>222</v>
      </c>
      <c r="D393" s="4" t="s">
        <v>495</v>
      </c>
      <c r="E393" s="14" t="s">
        <v>495</v>
      </c>
      <c r="F393" s="14" t="s">
        <v>496</v>
      </c>
      <c r="G393" s="14" t="s">
        <v>494</v>
      </c>
      <c r="H393" s="9" t="s">
        <v>1725</v>
      </c>
      <c r="I393" s="3">
        <v>3245810.9730658121</v>
      </c>
      <c r="J393" s="3">
        <v>1155404.0825789608</v>
      </c>
      <c r="K393" s="3">
        <f t="shared" si="14"/>
        <v>4401215.0556447729</v>
      </c>
      <c r="L393" s="3">
        <f>IFERROR(INDEX('CHIRP Payment Calc'!K:K,MATCH(A:A,'CHIRP Payment Calc'!A:A,0)),0)</f>
        <v>0</v>
      </c>
      <c r="M393" s="3">
        <f t="shared" si="15"/>
        <v>4401215.0556447729</v>
      </c>
    </row>
    <row r="394" spans="1:13">
      <c r="A394" s="9" t="s">
        <v>1562</v>
      </c>
      <c r="B394" s="9" t="s">
        <v>227</v>
      </c>
      <c r="C394" s="9" t="s">
        <v>222</v>
      </c>
      <c r="D394" s="4" t="s">
        <v>1619</v>
      </c>
      <c r="E394" s="14" t="s">
        <v>1619</v>
      </c>
      <c r="F394" s="14" t="s">
        <v>1237</v>
      </c>
      <c r="G394" s="14" t="s">
        <v>1562</v>
      </c>
      <c r="H394" s="9" t="s">
        <v>1618</v>
      </c>
      <c r="I394" s="3">
        <v>4398918.0585246747</v>
      </c>
      <c r="J394" s="3">
        <v>3990437.2789299036</v>
      </c>
      <c r="K394" s="3">
        <f t="shared" si="14"/>
        <v>8389355.3374545779</v>
      </c>
      <c r="L394" s="3">
        <f>IFERROR(INDEX('CHIRP Payment Calc'!K:K,MATCH(A:A,'CHIRP Payment Calc'!A:A,0)),0)</f>
        <v>12928509.439930767</v>
      </c>
      <c r="M394" s="3">
        <f t="shared" si="15"/>
        <v>-4539154.1024761889</v>
      </c>
    </row>
    <row r="395" spans="1:13">
      <c r="A395" s="9" t="s">
        <v>653</v>
      </c>
      <c r="B395" s="9" t="s">
        <v>227</v>
      </c>
      <c r="C395" s="9" t="s">
        <v>222</v>
      </c>
      <c r="D395" s="4" t="s">
        <v>654</v>
      </c>
      <c r="E395" s="14" t="s">
        <v>654</v>
      </c>
      <c r="F395" s="14" t="s">
        <v>655</v>
      </c>
      <c r="G395" s="14" t="s">
        <v>653</v>
      </c>
      <c r="H395" s="9" t="s">
        <v>1922</v>
      </c>
      <c r="I395" s="3">
        <v>0</v>
      </c>
      <c r="J395" s="3">
        <v>0</v>
      </c>
      <c r="K395" s="3">
        <f t="shared" si="14"/>
        <v>0</v>
      </c>
      <c r="L395" s="3">
        <f>IFERROR(INDEX('CHIRP Payment Calc'!K:K,MATCH(A:A,'CHIRP Payment Calc'!A:A,0)),0)</f>
        <v>0</v>
      </c>
      <c r="M395" s="3">
        <f t="shared" si="15"/>
        <v>0</v>
      </c>
    </row>
    <row r="396" spans="1:13">
      <c r="A396" s="9" t="s">
        <v>977</v>
      </c>
      <c r="B396" s="9" t="s">
        <v>227</v>
      </c>
      <c r="C396" s="9" t="s">
        <v>1479</v>
      </c>
      <c r="D396" s="4" t="s">
        <v>978</v>
      </c>
      <c r="E396" s="14" t="s">
        <v>978</v>
      </c>
      <c r="F396" s="14" t="s">
        <v>979</v>
      </c>
      <c r="G396" s="14" t="s">
        <v>977</v>
      </c>
      <c r="H396" s="9" t="s">
        <v>1921</v>
      </c>
      <c r="I396" s="3">
        <v>44325.029418999213</v>
      </c>
      <c r="J396" s="3">
        <v>35086.653468303506</v>
      </c>
      <c r="K396" s="3">
        <f t="shared" si="14"/>
        <v>79411.682887302712</v>
      </c>
      <c r="L396" s="3">
        <f>IFERROR(INDEX('CHIRP Payment Calc'!K:K,MATCH(A:A,'CHIRP Payment Calc'!A:A,0)),0)</f>
        <v>0</v>
      </c>
      <c r="M396" s="3">
        <f t="shared" si="15"/>
        <v>79411.682887302712</v>
      </c>
    </row>
    <row r="397" spans="1:13">
      <c r="A397" s="9" t="s">
        <v>347</v>
      </c>
      <c r="B397" s="9" t="s">
        <v>227</v>
      </c>
      <c r="C397" s="9" t="s">
        <v>1479</v>
      </c>
      <c r="D397" s="4" t="s">
        <v>348</v>
      </c>
      <c r="E397" s="14" t="s">
        <v>348</v>
      </c>
      <c r="F397" s="14" t="s">
        <v>349</v>
      </c>
      <c r="G397" s="14" t="s">
        <v>347</v>
      </c>
      <c r="H397" s="9" t="s">
        <v>1920</v>
      </c>
      <c r="I397" s="3">
        <v>71646.778826836264</v>
      </c>
      <c r="J397" s="3">
        <v>32648.288158475189</v>
      </c>
      <c r="K397" s="3">
        <f t="shared" si="14"/>
        <v>104295.06698531145</v>
      </c>
      <c r="L397" s="3">
        <f>IFERROR(INDEX('CHIRP Payment Calc'!K:K,MATCH(A:A,'CHIRP Payment Calc'!A:A,0)),0)</f>
        <v>208627.36754916026</v>
      </c>
      <c r="M397" s="3">
        <f t="shared" si="15"/>
        <v>-104332.30056384881</v>
      </c>
    </row>
    <row r="398" spans="1:13">
      <c r="A398" s="9" t="s">
        <v>2322</v>
      </c>
      <c r="B398" s="9" t="s">
        <v>227</v>
      </c>
      <c r="C398" s="9" t="s">
        <v>1479</v>
      </c>
      <c r="D398" s="4" t="s">
        <v>1919</v>
      </c>
      <c r="E398" s="14" t="e">
        <v>#N/A</v>
      </c>
      <c r="F398" s="14" t="e">
        <v>#N/A</v>
      </c>
      <c r="G398" s="14" t="e">
        <v>#N/A</v>
      </c>
      <c r="H398" s="9" t="s">
        <v>1623</v>
      </c>
      <c r="I398" s="3">
        <v>0</v>
      </c>
      <c r="J398" s="3">
        <v>0</v>
      </c>
      <c r="K398" s="3">
        <f t="shared" si="14"/>
        <v>0</v>
      </c>
      <c r="L398" s="3">
        <f>IFERROR(INDEX('CHIRP Payment Calc'!K:K,MATCH(A:A,'CHIRP Payment Calc'!A:A,0)),0)</f>
        <v>0</v>
      </c>
      <c r="M398" s="3">
        <f t="shared" si="15"/>
        <v>0</v>
      </c>
    </row>
    <row r="399" spans="1:13">
      <c r="A399" s="9" t="s">
        <v>341</v>
      </c>
      <c r="B399" s="9" t="s">
        <v>227</v>
      </c>
      <c r="C399" s="9" t="s">
        <v>1479</v>
      </c>
      <c r="D399" s="4" t="s">
        <v>342</v>
      </c>
      <c r="E399" s="14" t="s">
        <v>342</v>
      </c>
      <c r="F399" s="14" t="s">
        <v>343</v>
      </c>
      <c r="G399" s="14" t="s">
        <v>341</v>
      </c>
      <c r="H399" s="9" t="s">
        <v>1918</v>
      </c>
      <c r="I399" s="3">
        <v>64878.488200330532</v>
      </c>
      <c r="J399" s="3">
        <v>11469.526707443179</v>
      </c>
      <c r="K399" s="3">
        <f t="shared" si="14"/>
        <v>76348.014907773715</v>
      </c>
      <c r="L399" s="3">
        <f>IFERROR(INDEX('CHIRP Payment Calc'!K:K,MATCH(A:A,'CHIRP Payment Calc'!A:A,0)),0)</f>
        <v>0</v>
      </c>
      <c r="M399" s="3">
        <f t="shared" si="15"/>
        <v>76348.014907773715</v>
      </c>
    </row>
    <row r="400" spans="1:13">
      <c r="A400" s="9" t="s">
        <v>111</v>
      </c>
      <c r="B400" s="9" t="s">
        <v>227</v>
      </c>
      <c r="C400" s="9" t="s">
        <v>1479</v>
      </c>
      <c r="D400" s="4" t="s">
        <v>112</v>
      </c>
      <c r="E400" s="14" t="s">
        <v>112</v>
      </c>
      <c r="F400" s="14" t="s">
        <v>113</v>
      </c>
      <c r="G400" s="14" t="s">
        <v>111</v>
      </c>
      <c r="H400" s="9" t="s">
        <v>1917</v>
      </c>
      <c r="I400" s="3">
        <v>1900637.7926116586</v>
      </c>
      <c r="J400" s="3">
        <v>234374.78567144342</v>
      </c>
      <c r="K400" s="3">
        <f t="shared" si="14"/>
        <v>2135012.5782831018</v>
      </c>
      <c r="L400" s="3">
        <f>IFERROR(INDEX('CHIRP Payment Calc'!K:K,MATCH(A:A,'CHIRP Payment Calc'!A:A,0)),0)</f>
        <v>3743609.1717733908</v>
      </c>
      <c r="M400" s="3">
        <f t="shared" si="15"/>
        <v>-1608596.5934902891</v>
      </c>
    </row>
    <row r="401" spans="1:13">
      <c r="A401" s="9" t="s">
        <v>533</v>
      </c>
      <c r="B401" s="9" t="s">
        <v>227</v>
      </c>
      <c r="C401" s="9" t="s">
        <v>1479</v>
      </c>
      <c r="D401" s="4" t="s">
        <v>534</v>
      </c>
      <c r="E401" s="14" t="s">
        <v>534</v>
      </c>
      <c r="F401" s="14" t="s">
        <v>535</v>
      </c>
      <c r="G401" s="14" t="s">
        <v>533</v>
      </c>
      <c r="H401" s="9" t="s">
        <v>1714</v>
      </c>
      <c r="I401" s="3">
        <v>713532.51674735674</v>
      </c>
      <c r="J401" s="3">
        <v>94954.331596846328</v>
      </c>
      <c r="K401" s="3">
        <f t="shared" si="14"/>
        <v>808486.84834420308</v>
      </c>
      <c r="L401" s="3">
        <f>IFERROR(INDEX('CHIRP Payment Calc'!K:K,MATCH(A:A,'CHIRP Payment Calc'!A:A,0)),0)</f>
        <v>1487303.417078292</v>
      </c>
      <c r="M401" s="3">
        <f t="shared" si="15"/>
        <v>-678816.56873408891</v>
      </c>
    </row>
    <row r="402" spans="1:13">
      <c r="A402" s="9" t="s">
        <v>1375</v>
      </c>
      <c r="B402" s="9" t="s">
        <v>227</v>
      </c>
      <c r="C402" s="9" t="s">
        <v>1479</v>
      </c>
      <c r="D402" s="4" t="s">
        <v>1376</v>
      </c>
      <c r="E402" s="14" t="s">
        <v>1376</v>
      </c>
      <c r="F402" s="14" t="s">
        <v>1377</v>
      </c>
      <c r="G402" s="14" t="s">
        <v>1375</v>
      </c>
      <c r="H402" s="9" t="s">
        <v>1916</v>
      </c>
      <c r="I402" s="3">
        <v>1725136.4838742982</v>
      </c>
      <c r="J402" s="3">
        <v>641386.43730771309</v>
      </c>
      <c r="K402" s="3">
        <f t="shared" si="14"/>
        <v>2366522.9211820113</v>
      </c>
      <c r="L402" s="3">
        <f>IFERROR(INDEX('CHIRP Payment Calc'!K:K,MATCH(A:A,'CHIRP Payment Calc'!A:A,0)),0)</f>
        <v>4375707.7183324937</v>
      </c>
      <c r="M402" s="3">
        <f t="shared" si="15"/>
        <v>-2009184.7971504824</v>
      </c>
    </row>
    <row r="403" spans="1:13">
      <c r="A403" s="9" t="s">
        <v>338</v>
      </c>
      <c r="B403" s="9" t="s">
        <v>227</v>
      </c>
      <c r="C403" s="9" t="s">
        <v>1479</v>
      </c>
      <c r="D403" s="4" t="s">
        <v>339</v>
      </c>
      <c r="E403" s="14" t="s">
        <v>339</v>
      </c>
      <c r="F403" s="14" t="s">
        <v>340</v>
      </c>
      <c r="G403" s="14" t="s">
        <v>338</v>
      </c>
      <c r="H403" s="9" t="s">
        <v>1915</v>
      </c>
      <c r="I403" s="3">
        <v>298412.21678626101</v>
      </c>
      <c r="J403" s="3">
        <v>125391.89270176798</v>
      </c>
      <c r="K403" s="3">
        <f t="shared" si="14"/>
        <v>423804.10948802897</v>
      </c>
      <c r="L403" s="3">
        <f>IFERROR(INDEX('CHIRP Payment Calc'!K:K,MATCH(A:A,'CHIRP Payment Calc'!A:A,0)),0)</f>
        <v>545779.71364469104</v>
      </c>
      <c r="M403" s="3">
        <f t="shared" si="15"/>
        <v>-121975.60415666207</v>
      </c>
    </row>
    <row r="404" spans="1:13">
      <c r="A404" s="9" t="s">
        <v>713</v>
      </c>
      <c r="B404" s="9" t="s">
        <v>227</v>
      </c>
      <c r="C404" s="9" t="s">
        <v>1479</v>
      </c>
      <c r="D404" s="4" t="s">
        <v>714</v>
      </c>
      <c r="E404" s="14" t="s">
        <v>714</v>
      </c>
      <c r="F404" s="14" t="s">
        <v>715</v>
      </c>
      <c r="G404" s="14" t="s">
        <v>713</v>
      </c>
      <c r="H404" s="9" t="s">
        <v>1914</v>
      </c>
      <c r="I404" s="3">
        <v>753844.31454103265</v>
      </c>
      <c r="J404" s="3">
        <v>169865.24610535501</v>
      </c>
      <c r="K404" s="3">
        <f t="shared" si="14"/>
        <v>923709.56064638763</v>
      </c>
      <c r="L404" s="3">
        <f>IFERROR(INDEX('CHIRP Payment Calc'!K:K,MATCH(A:A,'CHIRP Payment Calc'!A:A,0)),0)</f>
        <v>2195798.7511595874</v>
      </c>
      <c r="M404" s="3">
        <f t="shared" si="15"/>
        <v>-1272089.1905131997</v>
      </c>
    </row>
    <row r="405" spans="1:13">
      <c r="A405" s="9" t="s">
        <v>974</v>
      </c>
      <c r="B405" s="9" t="s">
        <v>227</v>
      </c>
      <c r="C405" s="9" t="s">
        <v>1479</v>
      </c>
      <c r="D405" s="4" t="s">
        <v>975</v>
      </c>
      <c r="E405" s="14" t="s">
        <v>975</v>
      </c>
      <c r="F405" s="14" t="s">
        <v>976</v>
      </c>
      <c r="G405" s="14" t="s">
        <v>974</v>
      </c>
      <c r="H405" s="9" t="s">
        <v>1913</v>
      </c>
      <c r="I405" s="3">
        <v>61693.253805902415</v>
      </c>
      <c r="J405" s="3">
        <v>28373.964843202535</v>
      </c>
      <c r="K405" s="3">
        <f t="shared" si="14"/>
        <v>90067.218649104951</v>
      </c>
      <c r="L405" s="3">
        <f>IFERROR(INDEX('CHIRP Payment Calc'!K:K,MATCH(A:A,'CHIRP Payment Calc'!A:A,0)),0)</f>
        <v>0</v>
      </c>
      <c r="M405" s="3">
        <f t="shared" si="15"/>
        <v>90067.218649104951</v>
      </c>
    </row>
    <row r="406" spans="1:13">
      <c r="A406" s="9" t="s">
        <v>171</v>
      </c>
      <c r="B406" s="9" t="s">
        <v>227</v>
      </c>
      <c r="C406" s="9" t="s">
        <v>1479</v>
      </c>
      <c r="D406" s="4" t="s">
        <v>172</v>
      </c>
      <c r="E406" s="14" t="s">
        <v>172</v>
      </c>
      <c r="F406" s="14" t="s">
        <v>173</v>
      </c>
      <c r="G406" s="14" t="s">
        <v>171</v>
      </c>
      <c r="H406" s="9" t="s">
        <v>1912</v>
      </c>
      <c r="I406" s="3">
        <v>208670.47762060654</v>
      </c>
      <c r="J406" s="3">
        <v>206260.61883996005</v>
      </c>
      <c r="K406" s="3">
        <f t="shared" si="14"/>
        <v>414931.09646056662</v>
      </c>
      <c r="L406" s="3">
        <f>IFERROR(INDEX('CHIRP Payment Calc'!K:K,MATCH(A:A,'CHIRP Payment Calc'!A:A,0)),0)</f>
        <v>605765.15152815171</v>
      </c>
      <c r="M406" s="3">
        <f t="shared" si="15"/>
        <v>-190834.05506758508</v>
      </c>
    </row>
    <row r="407" spans="1:13">
      <c r="A407" s="9" t="s">
        <v>350</v>
      </c>
      <c r="B407" s="9" t="s">
        <v>227</v>
      </c>
      <c r="C407" s="9" t="s">
        <v>1479</v>
      </c>
      <c r="D407" s="4" t="s">
        <v>351</v>
      </c>
      <c r="E407" s="14" t="s">
        <v>351</v>
      </c>
      <c r="F407" s="14" t="s">
        <v>352</v>
      </c>
      <c r="G407" s="14" t="s">
        <v>350</v>
      </c>
      <c r="H407" s="9" t="s">
        <v>1911</v>
      </c>
      <c r="I407" s="3">
        <v>248646.69845009135</v>
      </c>
      <c r="J407" s="3">
        <v>34720.149026855986</v>
      </c>
      <c r="K407" s="3">
        <f t="shared" si="14"/>
        <v>283366.84747694735</v>
      </c>
      <c r="L407" s="3">
        <f>IFERROR(INDEX('CHIRP Payment Calc'!K:K,MATCH(A:A,'CHIRP Payment Calc'!A:A,0)),0)</f>
        <v>367582.19101281354</v>
      </c>
      <c r="M407" s="3">
        <f t="shared" si="15"/>
        <v>-84215.343535866181</v>
      </c>
    </row>
    <row r="408" spans="1:13">
      <c r="A408" s="9" t="s">
        <v>1606</v>
      </c>
      <c r="B408" s="9" t="s">
        <v>227</v>
      </c>
      <c r="C408" s="9" t="s">
        <v>1479</v>
      </c>
      <c r="D408" s="4" t="s">
        <v>1607</v>
      </c>
      <c r="E408" s="14" t="s">
        <v>1607</v>
      </c>
      <c r="F408" s="14" t="e">
        <v>#N/A</v>
      </c>
      <c r="G408" s="14" t="s">
        <v>1606</v>
      </c>
      <c r="H408" s="9" t="s">
        <v>1910</v>
      </c>
      <c r="I408" s="3">
        <v>0</v>
      </c>
      <c r="J408" s="3">
        <v>0</v>
      </c>
      <c r="K408" s="3">
        <f t="shared" si="14"/>
        <v>0</v>
      </c>
      <c r="L408" s="3">
        <f>IFERROR(INDEX('CHIRP Payment Calc'!K:K,MATCH(A:A,'CHIRP Payment Calc'!A:A,0)),0)</f>
        <v>0</v>
      </c>
      <c r="M408" s="3">
        <f t="shared" si="15"/>
        <v>0</v>
      </c>
    </row>
    <row r="409" spans="1:13">
      <c r="A409" s="9" t="s">
        <v>539</v>
      </c>
      <c r="B409" s="9" t="s">
        <v>227</v>
      </c>
      <c r="C409" s="9" t="s">
        <v>1479</v>
      </c>
      <c r="D409" s="4" t="s">
        <v>540</v>
      </c>
      <c r="E409" s="14" t="s">
        <v>540</v>
      </c>
      <c r="F409" s="14" t="s">
        <v>541</v>
      </c>
      <c r="G409" s="14" t="s">
        <v>539</v>
      </c>
      <c r="H409" s="9" t="s">
        <v>1713</v>
      </c>
      <c r="I409" s="3">
        <v>3184753.7054586369</v>
      </c>
      <c r="J409" s="3">
        <v>1674197.7159287005</v>
      </c>
      <c r="K409" s="3">
        <f t="shared" si="14"/>
        <v>4858951.4213873371</v>
      </c>
      <c r="L409" s="3">
        <f>IFERROR(INDEX('CHIRP Payment Calc'!K:K,MATCH(A:A,'CHIRP Payment Calc'!A:A,0)),0)</f>
        <v>0</v>
      </c>
      <c r="M409" s="3">
        <f t="shared" si="15"/>
        <v>4858951.4213873371</v>
      </c>
    </row>
    <row r="410" spans="1:13">
      <c r="A410" s="9" t="s">
        <v>1044</v>
      </c>
      <c r="B410" s="9" t="s">
        <v>227</v>
      </c>
      <c r="C410" s="9" t="s">
        <v>1479</v>
      </c>
      <c r="D410" s="4" t="s">
        <v>1045</v>
      </c>
      <c r="E410" s="14" t="s">
        <v>1045</v>
      </c>
      <c r="F410" s="14" t="s">
        <v>1046</v>
      </c>
      <c r="G410" s="14" t="s">
        <v>1044</v>
      </c>
      <c r="H410" s="9" t="s">
        <v>1909</v>
      </c>
      <c r="I410" s="3">
        <v>3019859.5886857156</v>
      </c>
      <c r="J410" s="3">
        <v>1525833.2731818834</v>
      </c>
      <c r="K410" s="3">
        <f t="shared" si="14"/>
        <v>4545692.8618675992</v>
      </c>
      <c r="L410" s="3">
        <f>IFERROR(INDEX('CHIRP Payment Calc'!K:K,MATCH(A:A,'CHIRP Payment Calc'!A:A,0)),0)</f>
        <v>8182616.9834537087</v>
      </c>
      <c r="M410" s="3">
        <f t="shared" si="15"/>
        <v>-3636924.1215861095</v>
      </c>
    </row>
    <row r="411" spans="1:13">
      <c r="A411" s="9" t="s">
        <v>2290</v>
      </c>
      <c r="B411" s="9" t="s">
        <v>227</v>
      </c>
      <c r="C411" s="9" t="s">
        <v>1479</v>
      </c>
      <c r="D411" s="4" t="s">
        <v>1147</v>
      </c>
      <c r="E411" s="14" t="s">
        <v>1147</v>
      </c>
      <c r="F411" s="14" t="s">
        <v>1148</v>
      </c>
      <c r="G411" s="14" t="s">
        <v>1146</v>
      </c>
      <c r="H411" s="9" t="s">
        <v>1623</v>
      </c>
      <c r="I411" s="3">
        <v>1306420.495599671</v>
      </c>
      <c r="J411" s="3">
        <v>500889.68796631863</v>
      </c>
      <c r="K411" s="3">
        <f t="shared" si="14"/>
        <v>1807310.1835659896</v>
      </c>
      <c r="L411" s="3">
        <f>IFERROR(INDEX('CHIRP Payment Calc'!K:K,MATCH(A:A,'CHIRP Payment Calc'!A:A,0)),0)</f>
        <v>2937442.7624433162</v>
      </c>
      <c r="M411" s="3">
        <f t="shared" si="15"/>
        <v>-1130132.5788773266</v>
      </c>
    </row>
    <row r="412" spans="1:13">
      <c r="A412" s="9" t="s">
        <v>965</v>
      </c>
      <c r="B412" s="9" t="s">
        <v>227</v>
      </c>
      <c r="C412" s="9" t="s">
        <v>1479</v>
      </c>
      <c r="D412" s="4" t="s">
        <v>966</v>
      </c>
      <c r="E412" s="14" t="s">
        <v>966</v>
      </c>
      <c r="F412" s="14" t="s">
        <v>967</v>
      </c>
      <c r="G412" s="14" t="s">
        <v>965</v>
      </c>
      <c r="H412" s="9" t="s">
        <v>1638</v>
      </c>
      <c r="I412" s="3">
        <v>92306.543118982663</v>
      </c>
      <c r="J412" s="3">
        <v>30104.309083153901</v>
      </c>
      <c r="K412" s="3">
        <f t="shared" si="14"/>
        <v>122410.85220213656</v>
      </c>
      <c r="L412" s="3">
        <f>IFERROR(INDEX('CHIRP Payment Calc'!K:K,MATCH(A:A,'CHIRP Payment Calc'!A:A,0)),0)</f>
        <v>0</v>
      </c>
      <c r="M412" s="3">
        <f t="shared" si="15"/>
        <v>122410.85220213656</v>
      </c>
    </row>
    <row r="413" spans="1:13">
      <c r="A413" s="9" t="s">
        <v>825</v>
      </c>
      <c r="B413" s="9" t="s">
        <v>227</v>
      </c>
      <c r="C413" s="9" t="s">
        <v>1545</v>
      </c>
      <c r="D413" s="4" t="s">
        <v>826</v>
      </c>
      <c r="E413" s="14" t="s">
        <v>826</v>
      </c>
      <c r="F413" s="14" t="s">
        <v>827</v>
      </c>
      <c r="G413" s="14" t="s">
        <v>825</v>
      </c>
      <c r="H413" s="9" t="s">
        <v>1664</v>
      </c>
      <c r="I413" s="3">
        <v>69943.091909068695</v>
      </c>
      <c r="J413" s="3">
        <v>16680.178933402767</v>
      </c>
      <c r="K413" s="3">
        <f t="shared" si="14"/>
        <v>86623.270842471466</v>
      </c>
      <c r="L413" s="3">
        <f>IFERROR(INDEX('CHIRP Payment Calc'!K:K,MATCH(A:A,'CHIRP Payment Calc'!A:A,0)),0)</f>
        <v>163284.84291097632</v>
      </c>
      <c r="M413" s="3">
        <f t="shared" si="15"/>
        <v>-76661.572068504858</v>
      </c>
    </row>
    <row r="414" spans="1:13">
      <c r="A414" s="9" t="s">
        <v>548</v>
      </c>
      <c r="B414" s="9" t="s">
        <v>227</v>
      </c>
      <c r="C414" s="9" t="s">
        <v>1545</v>
      </c>
      <c r="D414" s="4" t="s">
        <v>549</v>
      </c>
      <c r="E414" s="14" t="s">
        <v>549</v>
      </c>
      <c r="F414" s="14" t="s">
        <v>550</v>
      </c>
      <c r="G414" s="14" t="s">
        <v>548</v>
      </c>
      <c r="H414" s="9" t="s">
        <v>1908</v>
      </c>
      <c r="I414" s="3">
        <v>162292.81765159688</v>
      </c>
      <c r="J414" s="3">
        <v>34615.559075612167</v>
      </c>
      <c r="K414" s="3">
        <f t="shared" si="14"/>
        <v>196908.37672720905</v>
      </c>
      <c r="L414" s="3">
        <f>IFERROR(INDEX('CHIRP Payment Calc'!K:K,MATCH(A:A,'CHIRP Payment Calc'!A:A,0)),0)</f>
        <v>343411.0034968874</v>
      </c>
      <c r="M414" s="3">
        <f t="shared" si="15"/>
        <v>-146502.62676967835</v>
      </c>
    </row>
    <row r="415" spans="1:13">
      <c r="A415" s="9" t="s">
        <v>1069</v>
      </c>
      <c r="B415" s="9" t="s">
        <v>227</v>
      </c>
      <c r="C415" s="9" t="s">
        <v>1545</v>
      </c>
      <c r="D415" s="4" t="s">
        <v>1070</v>
      </c>
      <c r="E415" s="14" t="s">
        <v>1070</v>
      </c>
      <c r="F415" s="14" t="s">
        <v>1071</v>
      </c>
      <c r="G415" s="14" t="s">
        <v>1069</v>
      </c>
      <c r="H415" s="9" t="s">
        <v>1907</v>
      </c>
      <c r="I415" s="3">
        <v>102863.94054884469</v>
      </c>
      <c r="J415" s="3">
        <v>5990.2950240642922</v>
      </c>
      <c r="K415" s="3">
        <f t="shared" si="14"/>
        <v>108854.23557290899</v>
      </c>
      <c r="L415" s="3">
        <f>IFERROR(INDEX('CHIRP Payment Calc'!K:K,MATCH(A:A,'CHIRP Payment Calc'!A:A,0)),0)</f>
        <v>187176.50144585373</v>
      </c>
      <c r="M415" s="3">
        <f t="shared" si="15"/>
        <v>-78322.265872944743</v>
      </c>
    </row>
    <row r="416" spans="1:13">
      <c r="A416" s="9" t="s">
        <v>716</v>
      </c>
      <c r="B416" s="9" t="s">
        <v>227</v>
      </c>
      <c r="C416" s="9" t="s">
        <v>1545</v>
      </c>
      <c r="D416" s="4" t="s">
        <v>717</v>
      </c>
      <c r="E416" s="14" t="s">
        <v>717</v>
      </c>
      <c r="F416" s="14" t="s">
        <v>718</v>
      </c>
      <c r="G416" s="14" t="s">
        <v>716</v>
      </c>
      <c r="H416" s="9" t="s">
        <v>1906</v>
      </c>
      <c r="I416" s="3">
        <v>75606.418609447894</v>
      </c>
      <c r="J416" s="3">
        <v>12109.16031021597</v>
      </c>
      <c r="K416" s="3">
        <f t="shared" si="14"/>
        <v>87715.578919663865</v>
      </c>
      <c r="L416" s="3">
        <f>IFERROR(INDEX('CHIRP Payment Calc'!K:K,MATCH(A:A,'CHIRP Payment Calc'!A:A,0)),0)</f>
        <v>100517.1416530743</v>
      </c>
      <c r="M416" s="3">
        <f t="shared" si="15"/>
        <v>-12801.562733410436</v>
      </c>
    </row>
    <row r="417" spans="1:13">
      <c r="A417" s="9" t="s">
        <v>1155</v>
      </c>
      <c r="B417" s="9" t="s">
        <v>227</v>
      </c>
      <c r="C417" s="9" t="s">
        <v>1545</v>
      </c>
      <c r="D417" s="4" t="s">
        <v>1156</v>
      </c>
      <c r="E417" s="14" t="s">
        <v>1156</v>
      </c>
      <c r="F417" s="14" t="s">
        <v>1157</v>
      </c>
      <c r="G417" s="14" t="s">
        <v>1155</v>
      </c>
      <c r="H417" s="9" t="s">
        <v>1905</v>
      </c>
      <c r="I417" s="3">
        <v>3963180.6127158604</v>
      </c>
      <c r="J417" s="3">
        <v>705422.10975396121</v>
      </c>
      <c r="K417" s="3">
        <f t="shared" si="14"/>
        <v>4668602.7224698216</v>
      </c>
      <c r="L417" s="3">
        <f>IFERROR(INDEX('CHIRP Payment Calc'!K:K,MATCH(A:A,'CHIRP Payment Calc'!A:A,0)),0)</f>
        <v>7501096.3718721792</v>
      </c>
      <c r="M417" s="3">
        <f t="shared" si="15"/>
        <v>-2832493.6494023576</v>
      </c>
    </row>
    <row r="418" spans="1:13">
      <c r="A418" s="9" t="s">
        <v>106</v>
      </c>
      <c r="B418" s="9" t="s">
        <v>227</v>
      </c>
      <c r="C418" s="9" t="s">
        <v>1545</v>
      </c>
      <c r="D418" s="4" t="s">
        <v>107</v>
      </c>
      <c r="E418" s="14" t="s">
        <v>107</v>
      </c>
      <c r="F418" s="14" t="s">
        <v>108</v>
      </c>
      <c r="G418" s="14" t="s">
        <v>106</v>
      </c>
      <c r="H418" s="9" t="s">
        <v>1904</v>
      </c>
      <c r="I418" s="3">
        <v>715941.74687779718</v>
      </c>
      <c r="J418" s="3">
        <v>199542.68752977805</v>
      </c>
      <c r="K418" s="3">
        <f t="shared" si="14"/>
        <v>915484.43440757529</v>
      </c>
      <c r="L418" s="3">
        <f>IFERROR(INDEX('CHIRP Payment Calc'!K:K,MATCH(A:A,'CHIRP Payment Calc'!A:A,0)),0)</f>
        <v>1227568.9328628553</v>
      </c>
      <c r="M418" s="3">
        <f t="shared" si="15"/>
        <v>-312084.49845527997</v>
      </c>
    </row>
    <row r="419" spans="1:13">
      <c r="A419" s="9" t="s">
        <v>729</v>
      </c>
      <c r="B419" s="9" t="s">
        <v>227</v>
      </c>
      <c r="C419" s="9" t="s">
        <v>1545</v>
      </c>
      <c r="D419" s="4" t="s">
        <v>730</v>
      </c>
      <c r="E419" s="14" t="s">
        <v>730</v>
      </c>
      <c r="F419" s="14" t="s">
        <v>731</v>
      </c>
      <c r="G419" s="14" t="s">
        <v>729</v>
      </c>
      <c r="H419" s="9" t="s">
        <v>1684</v>
      </c>
      <c r="I419" s="3">
        <v>183410.28731122456</v>
      </c>
      <c r="J419" s="3">
        <v>153402.59403234691</v>
      </c>
      <c r="K419" s="3">
        <f t="shared" si="14"/>
        <v>336812.88134357147</v>
      </c>
      <c r="L419" s="3">
        <f>IFERROR(INDEX('CHIRP Payment Calc'!K:K,MATCH(A:A,'CHIRP Payment Calc'!A:A,0)),0)</f>
        <v>365553.7022827589</v>
      </c>
      <c r="M419" s="3">
        <f t="shared" si="15"/>
        <v>-28740.820939187426</v>
      </c>
    </row>
    <row r="420" spans="1:13">
      <c r="A420" s="9" t="s">
        <v>497</v>
      </c>
      <c r="B420" s="9" t="s">
        <v>227</v>
      </c>
      <c r="C420" s="9" t="s">
        <v>1545</v>
      </c>
      <c r="D420" s="4" t="s">
        <v>498</v>
      </c>
      <c r="E420" s="14" t="s">
        <v>498</v>
      </c>
      <c r="F420" s="14" t="s">
        <v>499</v>
      </c>
      <c r="G420" s="14" t="s">
        <v>497</v>
      </c>
      <c r="H420" s="9" t="s">
        <v>1723</v>
      </c>
      <c r="I420" s="3">
        <v>1813279.509402121</v>
      </c>
      <c r="J420" s="3">
        <v>161773.38437254835</v>
      </c>
      <c r="K420" s="3">
        <f t="shared" si="14"/>
        <v>1975052.8937746694</v>
      </c>
      <c r="L420" s="3">
        <f>IFERROR(INDEX('CHIRP Payment Calc'!K:K,MATCH(A:A,'CHIRP Payment Calc'!A:A,0)),0)</f>
        <v>3223926.5821925187</v>
      </c>
      <c r="M420" s="3">
        <f t="shared" si="15"/>
        <v>-1248873.6884178494</v>
      </c>
    </row>
    <row r="421" spans="1:13">
      <c r="A421" s="9" t="s">
        <v>741</v>
      </c>
      <c r="B421" s="9" t="s">
        <v>227</v>
      </c>
      <c r="C421" s="9" t="s">
        <v>1545</v>
      </c>
      <c r="D421" s="4" t="s">
        <v>742</v>
      </c>
      <c r="E421" s="14" t="s">
        <v>742</v>
      </c>
      <c r="F421" s="14" t="s">
        <v>743</v>
      </c>
      <c r="G421" s="14" t="s">
        <v>741</v>
      </c>
      <c r="H421" s="9" t="s">
        <v>1736</v>
      </c>
      <c r="I421" s="3">
        <v>110680.56800780549</v>
      </c>
      <c r="J421" s="3">
        <v>48419.463506288179</v>
      </c>
      <c r="K421" s="3">
        <f t="shared" si="14"/>
        <v>159100.03151409366</v>
      </c>
      <c r="L421" s="3">
        <f>IFERROR(INDEX('CHIRP Payment Calc'!K:K,MATCH(A:A,'CHIRP Payment Calc'!A:A,0)),0)</f>
        <v>249311.65703864241</v>
      </c>
      <c r="M421" s="3">
        <f t="shared" si="15"/>
        <v>-90211.625524548755</v>
      </c>
    </row>
    <row r="422" spans="1:13">
      <c r="A422" s="9" t="s">
        <v>892</v>
      </c>
      <c r="B422" s="9" t="s">
        <v>227</v>
      </c>
      <c r="C422" s="9" t="s">
        <v>1545</v>
      </c>
      <c r="D422" s="4" t="s">
        <v>893</v>
      </c>
      <c r="E422" s="14" t="s">
        <v>893</v>
      </c>
      <c r="F422" s="14" t="s">
        <v>894</v>
      </c>
      <c r="G422" s="14" t="s">
        <v>892</v>
      </c>
      <c r="H422" s="9" t="s">
        <v>1903</v>
      </c>
      <c r="I422" s="3">
        <v>195621.52820092064</v>
      </c>
      <c r="J422" s="3">
        <v>154297.63363329618</v>
      </c>
      <c r="K422" s="3">
        <f t="shared" si="14"/>
        <v>349919.16183421679</v>
      </c>
      <c r="L422" s="3">
        <f>IFERROR(INDEX('CHIRP Payment Calc'!K:K,MATCH(A:A,'CHIRP Payment Calc'!A:A,0)),0)</f>
        <v>493135.28187050001</v>
      </c>
      <c r="M422" s="3">
        <f t="shared" si="15"/>
        <v>-143216.12003628322</v>
      </c>
    </row>
    <row r="423" spans="1:13">
      <c r="A423" s="9" t="s">
        <v>512</v>
      </c>
      <c r="B423" s="9" t="s">
        <v>227</v>
      </c>
      <c r="C423" s="9" t="s">
        <v>1545</v>
      </c>
      <c r="D423" s="4" t="s">
        <v>513</v>
      </c>
      <c r="E423" s="14" t="s">
        <v>513</v>
      </c>
      <c r="F423" s="14" t="s">
        <v>514</v>
      </c>
      <c r="G423" s="14" t="s">
        <v>512</v>
      </c>
      <c r="H423" s="9" t="s">
        <v>1902</v>
      </c>
      <c r="I423" s="3">
        <v>336769.15454063856</v>
      </c>
      <c r="J423" s="3">
        <v>84185.10431056915</v>
      </c>
      <c r="K423" s="3">
        <f t="shared" si="14"/>
        <v>420954.25885120768</v>
      </c>
      <c r="L423" s="3">
        <f>IFERROR(INDEX('CHIRP Payment Calc'!K:K,MATCH(A:A,'CHIRP Payment Calc'!A:A,0)),0)</f>
        <v>698228.86141010653</v>
      </c>
      <c r="M423" s="3">
        <f t="shared" si="15"/>
        <v>-277274.60255889886</v>
      </c>
    </row>
    <row r="424" spans="1:13">
      <c r="A424" s="9" t="s">
        <v>926</v>
      </c>
      <c r="B424" s="9" t="s">
        <v>227</v>
      </c>
      <c r="C424" s="9" t="s">
        <v>1545</v>
      </c>
      <c r="D424" s="4" t="s">
        <v>927</v>
      </c>
      <c r="E424" s="14" t="s">
        <v>927</v>
      </c>
      <c r="F424" s="14" t="s">
        <v>928</v>
      </c>
      <c r="G424" s="14" t="s">
        <v>926</v>
      </c>
      <c r="H424" s="9" t="s">
        <v>1901</v>
      </c>
      <c r="I424" s="3">
        <v>37257.606665689273</v>
      </c>
      <c r="J424" s="3">
        <v>17137.781873665695</v>
      </c>
      <c r="K424" s="3">
        <f t="shared" si="14"/>
        <v>54395.388539354972</v>
      </c>
      <c r="L424" s="3">
        <f>IFERROR(INDEX('CHIRP Payment Calc'!K:K,MATCH(A:A,'CHIRP Payment Calc'!A:A,0)),0)</f>
        <v>80537.901037294185</v>
      </c>
      <c r="M424" s="3">
        <f t="shared" si="15"/>
        <v>-26142.512497939213</v>
      </c>
    </row>
    <row r="425" spans="1:13">
      <c r="A425" s="9" t="s">
        <v>500</v>
      </c>
      <c r="B425" s="9" t="s">
        <v>227</v>
      </c>
      <c r="C425" s="9" t="s">
        <v>1545</v>
      </c>
      <c r="D425" s="4" t="s">
        <v>501</v>
      </c>
      <c r="E425" s="14" t="s">
        <v>501</v>
      </c>
      <c r="F425" s="14" t="s">
        <v>502</v>
      </c>
      <c r="G425" s="14" t="s">
        <v>500</v>
      </c>
      <c r="H425" s="9" t="s">
        <v>1718</v>
      </c>
      <c r="I425" s="3">
        <v>88342.023109701739</v>
      </c>
      <c r="J425" s="3">
        <v>73121.4286645721</v>
      </c>
      <c r="K425" s="3">
        <f t="shared" si="14"/>
        <v>161463.45177427382</v>
      </c>
      <c r="L425" s="3">
        <f>IFERROR(INDEX('CHIRP Payment Calc'!K:K,MATCH(A:A,'CHIRP Payment Calc'!A:A,0)),0)</f>
        <v>238721.8883081034</v>
      </c>
      <c r="M425" s="3">
        <f t="shared" si="15"/>
        <v>-77258.436533829576</v>
      </c>
    </row>
    <row r="426" spans="1:13">
      <c r="A426" s="9" t="s">
        <v>941</v>
      </c>
      <c r="B426" s="9" t="s">
        <v>227</v>
      </c>
      <c r="C426" s="9" t="s">
        <v>1545</v>
      </c>
      <c r="D426" s="4" t="s">
        <v>942</v>
      </c>
      <c r="E426" s="14" t="s">
        <v>942</v>
      </c>
      <c r="F426" s="14" t="s">
        <v>943</v>
      </c>
      <c r="G426" s="14" t="s">
        <v>941</v>
      </c>
      <c r="H426" s="9" t="s">
        <v>1645</v>
      </c>
      <c r="I426" s="3">
        <v>358641.44904059003</v>
      </c>
      <c r="J426" s="3">
        <v>79820.704450409394</v>
      </c>
      <c r="K426" s="3">
        <f t="shared" si="14"/>
        <v>438462.15349099942</v>
      </c>
      <c r="L426" s="3">
        <f>IFERROR(INDEX('CHIRP Payment Calc'!K:K,MATCH(A:A,'CHIRP Payment Calc'!A:A,0)),0)</f>
        <v>938538.87914016366</v>
      </c>
      <c r="M426" s="3">
        <f t="shared" si="15"/>
        <v>-500076.72564916423</v>
      </c>
    </row>
    <row r="427" spans="1:13">
      <c r="A427" s="9" t="s">
        <v>992</v>
      </c>
      <c r="B427" s="9" t="s">
        <v>227</v>
      </c>
      <c r="C427" s="9" t="s">
        <v>1545</v>
      </c>
      <c r="D427" s="4" t="s">
        <v>993</v>
      </c>
      <c r="E427" s="14" t="s">
        <v>993</v>
      </c>
      <c r="F427" s="14" t="s">
        <v>994</v>
      </c>
      <c r="G427" s="14" t="s">
        <v>992</v>
      </c>
      <c r="H427" s="9" t="s">
        <v>1626</v>
      </c>
      <c r="I427" s="3">
        <v>1535854.1760596756</v>
      </c>
      <c r="J427" s="3">
        <v>368116.34213089227</v>
      </c>
      <c r="K427" s="3">
        <f t="shared" si="14"/>
        <v>1903970.5181905678</v>
      </c>
      <c r="L427" s="3">
        <f>IFERROR(INDEX('CHIRP Payment Calc'!K:K,MATCH(A:A,'CHIRP Payment Calc'!A:A,0)),0)</f>
        <v>3545036.7107179724</v>
      </c>
      <c r="M427" s="3">
        <f t="shared" si="15"/>
        <v>-1641066.1925274045</v>
      </c>
    </row>
    <row r="428" spans="1:13">
      <c r="A428" s="9" t="s">
        <v>1603</v>
      </c>
      <c r="B428" s="9" t="s">
        <v>227</v>
      </c>
      <c r="C428" s="9" t="s">
        <v>1545</v>
      </c>
      <c r="D428" s="4" t="s">
        <v>1604</v>
      </c>
      <c r="E428" s="14" t="s">
        <v>1604</v>
      </c>
      <c r="F428" s="14" t="s">
        <v>1602</v>
      </c>
      <c r="G428" s="14" t="s">
        <v>1603</v>
      </c>
      <c r="H428" s="9" t="s">
        <v>1602</v>
      </c>
      <c r="I428" s="3">
        <v>213409.02240960891</v>
      </c>
      <c r="J428" s="3">
        <v>135448.08190417226</v>
      </c>
      <c r="K428" s="3">
        <f t="shared" si="14"/>
        <v>348857.10431378114</v>
      </c>
      <c r="L428" s="3">
        <f>IFERROR(INDEX('CHIRP Payment Calc'!K:K,MATCH(A:A,'CHIRP Payment Calc'!A:A,0)),0)</f>
        <v>413059.10458427668</v>
      </c>
      <c r="M428" s="3">
        <f t="shared" si="15"/>
        <v>-64202.00027049554</v>
      </c>
    </row>
    <row r="429" spans="1:13">
      <c r="A429" s="9" t="s">
        <v>986</v>
      </c>
      <c r="B429" s="9" t="s">
        <v>227</v>
      </c>
      <c r="C429" s="9" t="s">
        <v>1545</v>
      </c>
      <c r="D429" s="4" t="s">
        <v>987</v>
      </c>
      <c r="E429" s="14" t="s">
        <v>987</v>
      </c>
      <c r="F429" s="14" t="s">
        <v>988</v>
      </c>
      <c r="G429" s="14" t="s">
        <v>986</v>
      </c>
      <c r="H429" s="9" t="s">
        <v>1900</v>
      </c>
      <c r="I429" s="3">
        <v>37191.841967893051</v>
      </c>
      <c r="J429" s="3">
        <v>2767.4390746705321</v>
      </c>
      <c r="K429" s="3">
        <f t="shared" si="14"/>
        <v>39959.281042563583</v>
      </c>
      <c r="L429" s="3">
        <f>IFERROR(INDEX('CHIRP Payment Calc'!K:K,MATCH(A:A,'CHIRP Payment Calc'!A:A,0)),0)</f>
        <v>122105.64372883625</v>
      </c>
      <c r="M429" s="3">
        <f t="shared" si="15"/>
        <v>-82146.362686272667</v>
      </c>
    </row>
    <row r="430" spans="1:13">
      <c r="A430" s="9" t="s">
        <v>674</v>
      </c>
      <c r="B430" s="9" t="s">
        <v>227</v>
      </c>
      <c r="C430" s="9" t="s">
        <v>1545</v>
      </c>
      <c r="D430" s="4" t="s">
        <v>675</v>
      </c>
      <c r="E430" s="14" t="s">
        <v>675</v>
      </c>
      <c r="F430" s="14" t="s">
        <v>676</v>
      </c>
      <c r="G430" s="14" t="s">
        <v>674</v>
      </c>
      <c r="H430" s="9" t="s">
        <v>1899</v>
      </c>
      <c r="I430" s="3">
        <v>146572.43116373807</v>
      </c>
      <c r="J430" s="3">
        <v>68943.087940630881</v>
      </c>
      <c r="K430" s="3">
        <f t="shared" si="14"/>
        <v>215515.51910436896</v>
      </c>
      <c r="L430" s="3">
        <f>IFERROR(INDEX('CHIRP Payment Calc'!K:K,MATCH(A:A,'CHIRP Payment Calc'!A:A,0)),0)</f>
        <v>291213.25138701813</v>
      </c>
      <c r="M430" s="3">
        <f t="shared" si="15"/>
        <v>-75697.732282649173</v>
      </c>
    </row>
    <row r="431" spans="1:13">
      <c r="A431" s="9" t="s">
        <v>620</v>
      </c>
      <c r="B431" s="9" t="s">
        <v>227</v>
      </c>
      <c r="C431" s="9" t="s">
        <v>1545</v>
      </c>
      <c r="D431" s="4" t="s">
        <v>621</v>
      </c>
      <c r="E431" s="14" t="s">
        <v>621</v>
      </c>
      <c r="F431" s="14" t="s">
        <v>622</v>
      </c>
      <c r="G431" s="14" t="s">
        <v>620</v>
      </c>
      <c r="H431" s="9" t="s">
        <v>1898</v>
      </c>
      <c r="I431" s="3">
        <v>298096.48855154152</v>
      </c>
      <c r="J431" s="3">
        <v>363258.20481093042</v>
      </c>
      <c r="K431" s="3">
        <f t="shared" si="14"/>
        <v>661354.69336247188</v>
      </c>
      <c r="L431" s="3">
        <f>IFERROR(INDEX('CHIRP Payment Calc'!K:K,MATCH(A:A,'CHIRP Payment Calc'!A:A,0)),0)</f>
        <v>887388.48324696638</v>
      </c>
      <c r="M431" s="3">
        <f t="shared" si="15"/>
        <v>-226033.7898844945</v>
      </c>
    </row>
    <row r="432" spans="1:13">
      <c r="A432" s="9" t="s">
        <v>650</v>
      </c>
      <c r="B432" s="9" t="s">
        <v>227</v>
      </c>
      <c r="C432" s="9" t="s">
        <v>1545</v>
      </c>
      <c r="D432" s="4" t="s">
        <v>651</v>
      </c>
      <c r="E432" s="14" t="s">
        <v>651</v>
      </c>
      <c r="F432" s="14" t="s">
        <v>652</v>
      </c>
      <c r="G432" s="14" t="s">
        <v>650</v>
      </c>
      <c r="H432" s="9" t="s">
        <v>1704</v>
      </c>
      <c r="I432" s="3">
        <v>66259.609060111237</v>
      </c>
      <c r="J432" s="3">
        <v>19479.070075288288</v>
      </c>
      <c r="K432" s="3">
        <f t="shared" si="14"/>
        <v>85738.679135399521</v>
      </c>
      <c r="L432" s="3">
        <f>IFERROR(INDEX('CHIRP Payment Calc'!K:K,MATCH(A:A,'CHIRP Payment Calc'!A:A,0)),0)</f>
        <v>139842.10008506681</v>
      </c>
      <c r="M432" s="3">
        <f t="shared" si="15"/>
        <v>-54103.420949667285</v>
      </c>
    </row>
    <row r="433" spans="1:13">
      <c r="A433" s="9" t="s">
        <v>587</v>
      </c>
      <c r="B433" s="9" t="s">
        <v>227</v>
      </c>
      <c r="C433" s="9" t="s">
        <v>1545</v>
      </c>
      <c r="D433" s="4" t="s">
        <v>588</v>
      </c>
      <c r="E433" s="14" t="s">
        <v>588</v>
      </c>
      <c r="F433" s="14" t="s">
        <v>589</v>
      </c>
      <c r="G433" s="14" t="s">
        <v>587</v>
      </c>
      <c r="H433" s="9" t="s">
        <v>1897</v>
      </c>
      <c r="I433" s="3">
        <v>1033255.5377479783</v>
      </c>
      <c r="J433" s="3">
        <v>265789.10138199723</v>
      </c>
      <c r="K433" s="3">
        <f t="shared" si="14"/>
        <v>1299044.6391299756</v>
      </c>
      <c r="L433" s="3">
        <f>IFERROR(INDEX('CHIRP Payment Calc'!K:K,MATCH(A:A,'CHIRP Payment Calc'!A:A,0)),0)</f>
        <v>2660848.6597131817</v>
      </c>
      <c r="M433" s="3">
        <f t="shared" si="15"/>
        <v>-1361804.0205832061</v>
      </c>
    </row>
    <row r="434" spans="1:13">
      <c r="A434" s="9" t="s">
        <v>1140</v>
      </c>
      <c r="B434" s="9" t="s">
        <v>227</v>
      </c>
      <c r="C434" s="9" t="s">
        <v>1545</v>
      </c>
      <c r="D434" s="4" t="s">
        <v>1141</v>
      </c>
      <c r="E434" s="14" t="s">
        <v>1141</v>
      </c>
      <c r="F434" s="14" t="s">
        <v>1142</v>
      </c>
      <c r="G434" s="14" t="s">
        <v>1140</v>
      </c>
      <c r="H434" s="9" t="s">
        <v>1896</v>
      </c>
      <c r="I434" s="3">
        <v>24292.566210572131</v>
      </c>
      <c r="J434" s="3">
        <v>3745.0164691634982</v>
      </c>
      <c r="K434" s="3">
        <f t="shared" si="14"/>
        <v>28037.582679735628</v>
      </c>
      <c r="L434" s="3">
        <f>IFERROR(INDEX('CHIRP Payment Calc'!K:K,MATCH(A:A,'CHIRP Payment Calc'!A:A,0)),0)</f>
        <v>63631.782746783996</v>
      </c>
      <c r="M434" s="3">
        <f t="shared" si="15"/>
        <v>-35594.200067048369</v>
      </c>
    </row>
    <row r="435" spans="1:13">
      <c r="A435" s="9" t="s">
        <v>1749</v>
      </c>
      <c r="B435" s="15" t="s">
        <v>300</v>
      </c>
      <c r="C435" s="15" t="s">
        <v>1796</v>
      </c>
      <c r="D435" s="4" t="s">
        <v>1750</v>
      </c>
      <c r="E435" s="14" t="s">
        <v>2322</v>
      </c>
      <c r="F435" s="14" t="e">
        <v>#N/A</v>
      </c>
      <c r="G435" s="14" t="s">
        <v>2322</v>
      </c>
      <c r="H435" s="9" t="s">
        <v>2144</v>
      </c>
      <c r="I435" s="3">
        <v>3742.4042268523194</v>
      </c>
      <c r="J435" s="3">
        <v>0</v>
      </c>
      <c r="K435" s="3">
        <f t="shared" si="14"/>
        <v>3742.4042268523194</v>
      </c>
      <c r="L435" s="3">
        <f>IFERROR(INDEX('CHIRP Payment Calc'!K:K,MATCH(A:A,'CHIRP Payment Calc'!A:A,0)),0)</f>
        <v>0</v>
      </c>
      <c r="M435" s="3">
        <f t="shared" si="15"/>
        <v>3742.4042268523194</v>
      </c>
    </row>
    <row r="436" spans="1:13">
      <c r="A436" s="9" t="s">
        <v>932</v>
      </c>
      <c r="B436" s="9" t="s">
        <v>227</v>
      </c>
      <c r="C436" s="9" t="s">
        <v>1545</v>
      </c>
      <c r="D436" s="4" t="s">
        <v>933</v>
      </c>
      <c r="E436" s="14" t="s">
        <v>933</v>
      </c>
      <c r="F436" s="14" t="s">
        <v>934</v>
      </c>
      <c r="G436" s="14" t="s">
        <v>932</v>
      </c>
      <c r="H436" s="9" t="s">
        <v>1894</v>
      </c>
      <c r="I436" s="3">
        <v>68307.112085515051</v>
      </c>
      <c r="J436" s="3">
        <v>1277.7388281490983</v>
      </c>
      <c r="K436" s="3">
        <f t="shared" si="14"/>
        <v>69584.850913664151</v>
      </c>
      <c r="L436" s="3">
        <f>IFERROR(INDEX('CHIRP Payment Calc'!K:K,MATCH(A:A,'CHIRP Payment Calc'!A:A,0)),0)</f>
        <v>104690.74616645944</v>
      </c>
      <c r="M436" s="3">
        <f t="shared" si="15"/>
        <v>-35105.895252795293</v>
      </c>
    </row>
    <row r="437" spans="1:13">
      <c r="A437" s="9" t="s">
        <v>614</v>
      </c>
      <c r="B437" s="9" t="s">
        <v>227</v>
      </c>
      <c r="C437" s="9" t="s">
        <v>1545</v>
      </c>
      <c r="D437" s="4" t="s">
        <v>615</v>
      </c>
      <c r="E437" s="14" t="s">
        <v>615</v>
      </c>
      <c r="F437" s="14" t="s">
        <v>616</v>
      </c>
      <c r="G437" s="14" t="s">
        <v>614</v>
      </c>
      <c r="H437" s="9" t="s">
        <v>1710</v>
      </c>
      <c r="I437" s="3">
        <v>98755.82566458144</v>
      </c>
      <c r="J437" s="3">
        <v>63403.231032785479</v>
      </c>
      <c r="K437" s="3">
        <f t="shared" si="14"/>
        <v>162159.05669736693</v>
      </c>
      <c r="L437" s="3">
        <f>IFERROR(INDEX('CHIRP Payment Calc'!K:K,MATCH(A:A,'CHIRP Payment Calc'!A:A,0)),0)</f>
        <v>204799.75337265056</v>
      </c>
      <c r="M437" s="3">
        <f t="shared" si="15"/>
        <v>-42640.696675283631</v>
      </c>
    </row>
    <row r="438" spans="1:13">
      <c r="A438" s="9" t="s">
        <v>10</v>
      </c>
      <c r="B438" s="9" t="s">
        <v>227</v>
      </c>
      <c r="C438" s="9" t="s">
        <v>1545</v>
      </c>
      <c r="D438" s="4" t="s">
        <v>11</v>
      </c>
      <c r="E438" s="14" t="s">
        <v>11</v>
      </c>
      <c r="F438" s="14" t="s">
        <v>12</v>
      </c>
      <c r="G438" s="14" t="s">
        <v>10</v>
      </c>
      <c r="H438" s="9" t="s">
        <v>1893</v>
      </c>
      <c r="I438" s="3">
        <v>48914.502480717892</v>
      </c>
      <c r="J438" s="3">
        <v>82117.667746919658</v>
      </c>
      <c r="K438" s="3">
        <f t="shared" si="14"/>
        <v>131032.17022763754</v>
      </c>
      <c r="L438" s="3">
        <f>IFERROR(INDEX('CHIRP Payment Calc'!K:K,MATCH(A:A,'CHIRP Payment Calc'!A:A,0)),0)</f>
        <v>169689.12806254975</v>
      </c>
      <c r="M438" s="3">
        <f t="shared" si="15"/>
        <v>-38656.957834912202</v>
      </c>
    </row>
    <row r="439" spans="1:13">
      <c r="A439" s="9" t="s">
        <v>695</v>
      </c>
      <c r="B439" s="9" t="s">
        <v>227</v>
      </c>
      <c r="C439" s="9" t="s">
        <v>1545</v>
      </c>
      <c r="D439" s="4" t="s">
        <v>696</v>
      </c>
      <c r="E439" s="14" t="s">
        <v>696</v>
      </c>
      <c r="F439" s="14" t="s">
        <v>697</v>
      </c>
      <c r="G439" s="14" t="s">
        <v>695</v>
      </c>
      <c r="H439" s="9" t="s">
        <v>1892</v>
      </c>
      <c r="I439" s="3">
        <v>56852.750113464812</v>
      </c>
      <c r="J439" s="3">
        <v>67696.339142312339</v>
      </c>
      <c r="K439" s="3">
        <f t="shared" si="14"/>
        <v>124549.08925577716</v>
      </c>
      <c r="L439" s="3">
        <f>IFERROR(INDEX('CHIRP Payment Calc'!K:K,MATCH(A:A,'CHIRP Payment Calc'!A:A,0)),0)</f>
        <v>0</v>
      </c>
      <c r="M439" s="3">
        <f t="shared" si="15"/>
        <v>124549.08925577716</v>
      </c>
    </row>
    <row r="440" spans="1:13">
      <c r="A440" s="9" t="s">
        <v>1037</v>
      </c>
      <c r="B440" s="9" t="s">
        <v>227</v>
      </c>
      <c r="C440" s="9" t="s">
        <v>1545</v>
      </c>
      <c r="D440" s="4" t="s">
        <v>1038</v>
      </c>
      <c r="E440" s="14" t="s">
        <v>1038</v>
      </c>
      <c r="F440" s="14" t="s">
        <v>1039</v>
      </c>
      <c r="G440" s="14" t="s">
        <v>1037</v>
      </c>
      <c r="H440" s="9" t="s">
        <v>1620</v>
      </c>
      <c r="I440" s="3">
        <v>82970.029886302713</v>
      </c>
      <c r="J440" s="3">
        <v>14104.527145648784</v>
      </c>
      <c r="K440" s="3">
        <f t="shared" si="14"/>
        <v>97074.557031951495</v>
      </c>
      <c r="L440" s="3">
        <f>IFERROR(INDEX('CHIRP Payment Calc'!K:K,MATCH(A:A,'CHIRP Payment Calc'!A:A,0)),0)</f>
        <v>0</v>
      </c>
      <c r="M440" s="3">
        <f t="shared" si="15"/>
        <v>97074.557031951495</v>
      </c>
    </row>
    <row r="441" spans="1:13">
      <c r="A441" s="9" t="s">
        <v>1730</v>
      </c>
      <c r="B441" s="9" t="s">
        <v>227</v>
      </c>
      <c r="C441" s="9" t="s">
        <v>1545</v>
      </c>
      <c r="D441" s="4" t="s">
        <v>1729</v>
      </c>
      <c r="E441" s="14" t="s">
        <v>1729</v>
      </c>
      <c r="F441" s="14" t="e">
        <v>#N/A</v>
      </c>
      <c r="G441" s="14" t="s">
        <v>1730</v>
      </c>
      <c r="H441" s="9" t="s">
        <v>1731</v>
      </c>
      <c r="I441" s="3">
        <v>0</v>
      </c>
      <c r="J441" s="3">
        <v>0</v>
      </c>
      <c r="K441" s="3">
        <f t="shared" si="14"/>
        <v>0</v>
      </c>
      <c r="L441" s="3">
        <f>IFERROR(INDEX('CHIRP Payment Calc'!K:K,MATCH(A:A,'CHIRP Payment Calc'!A:A,0)),0)</f>
        <v>0</v>
      </c>
      <c r="M441" s="3">
        <f t="shared" si="15"/>
        <v>0</v>
      </c>
    </row>
    <row r="442" spans="1:13">
      <c r="A442" s="9" t="s">
        <v>744</v>
      </c>
      <c r="B442" s="9" t="s">
        <v>227</v>
      </c>
      <c r="C442" s="9" t="s">
        <v>1545</v>
      </c>
      <c r="D442" s="4" t="s">
        <v>745</v>
      </c>
      <c r="E442" s="14" t="s">
        <v>745</v>
      </c>
      <c r="F442" s="14" t="s">
        <v>746</v>
      </c>
      <c r="G442" s="14" t="s">
        <v>744</v>
      </c>
      <c r="H442" s="9" t="s">
        <v>1676</v>
      </c>
      <c r="I442" s="3">
        <v>65108.499852286513</v>
      </c>
      <c r="J442" s="3">
        <v>26963.521301499804</v>
      </c>
      <c r="K442" s="3">
        <f t="shared" si="14"/>
        <v>92072.021153786322</v>
      </c>
      <c r="L442" s="3">
        <f>IFERROR(INDEX('CHIRP Payment Calc'!K:K,MATCH(A:A,'CHIRP Payment Calc'!A:A,0)),0)</f>
        <v>228562.66391095967</v>
      </c>
      <c r="M442" s="3">
        <f t="shared" si="15"/>
        <v>-136490.64275717334</v>
      </c>
    </row>
    <row r="443" spans="1:13">
      <c r="A443" s="9" t="s">
        <v>1016</v>
      </c>
      <c r="B443" s="9" t="s">
        <v>227</v>
      </c>
      <c r="C443" s="9" t="s">
        <v>1545</v>
      </c>
      <c r="D443" s="4" t="s">
        <v>1017</v>
      </c>
      <c r="E443" s="14" t="s">
        <v>1017</v>
      </c>
      <c r="F443" s="14" t="s">
        <v>1018</v>
      </c>
      <c r="G443" s="14" t="s">
        <v>1016</v>
      </c>
      <c r="H443" s="9" t="s">
        <v>1891</v>
      </c>
      <c r="I443" s="3">
        <v>1261201.7701664264</v>
      </c>
      <c r="J443" s="3">
        <v>313258.84486407368</v>
      </c>
      <c r="K443" s="3">
        <f t="shared" si="14"/>
        <v>1574460.6150305001</v>
      </c>
      <c r="L443" s="3">
        <f>IFERROR(INDEX('CHIRP Payment Calc'!K:K,MATCH(A:A,'CHIRP Payment Calc'!A:A,0)),0)</f>
        <v>3033504.8742117779</v>
      </c>
      <c r="M443" s="3">
        <f t="shared" si="15"/>
        <v>-1459044.2591812778</v>
      </c>
    </row>
    <row r="444" spans="1:13">
      <c r="A444" s="9" t="s">
        <v>710</v>
      </c>
      <c r="B444" s="9" t="s">
        <v>227</v>
      </c>
      <c r="C444" s="9" t="s">
        <v>1545</v>
      </c>
      <c r="D444" s="4" t="s">
        <v>711</v>
      </c>
      <c r="E444" s="14" t="s">
        <v>711</v>
      </c>
      <c r="F444" s="14" t="s">
        <v>712</v>
      </c>
      <c r="G444" s="14" t="s">
        <v>710</v>
      </c>
      <c r="H444" s="9" t="s">
        <v>1890</v>
      </c>
      <c r="I444" s="3">
        <v>47246.855195330405</v>
      </c>
      <c r="J444" s="3">
        <v>41575.639237648356</v>
      </c>
      <c r="K444" s="3">
        <f t="shared" si="14"/>
        <v>88822.494432978769</v>
      </c>
      <c r="L444" s="3">
        <f>IFERROR(INDEX('CHIRP Payment Calc'!K:K,MATCH(A:A,'CHIRP Payment Calc'!A:A,0)),0)</f>
        <v>192625.92292947584</v>
      </c>
      <c r="M444" s="3">
        <f t="shared" si="15"/>
        <v>-103803.42849649707</v>
      </c>
    </row>
    <row r="445" spans="1:13">
      <c r="A445" s="9" t="s">
        <v>656</v>
      </c>
      <c r="B445" s="9" t="s">
        <v>227</v>
      </c>
      <c r="C445" s="9" t="s">
        <v>1545</v>
      </c>
      <c r="D445" s="4" t="s">
        <v>657</v>
      </c>
      <c r="E445" s="14" t="s">
        <v>657</v>
      </c>
      <c r="F445" s="14" t="s">
        <v>658</v>
      </c>
      <c r="G445" s="14" t="s">
        <v>656</v>
      </c>
      <c r="H445" s="9" t="s">
        <v>1703</v>
      </c>
      <c r="I445" s="3">
        <v>460497.85345824587</v>
      </c>
      <c r="J445" s="3">
        <v>70709.900402785759</v>
      </c>
      <c r="K445" s="3">
        <f t="shared" si="14"/>
        <v>531207.75386103161</v>
      </c>
      <c r="L445" s="3">
        <f>IFERROR(INDEX('CHIRP Payment Calc'!K:K,MATCH(A:A,'CHIRP Payment Calc'!A:A,0)),0)</f>
        <v>958182.62628493109</v>
      </c>
      <c r="M445" s="3">
        <f t="shared" si="15"/>
        <v>-426974.87242389948</v>
      </c>
    </row>
    <row r="446" spans="1:13">
      <c r="A446" s="9" t="s">
        <v>819</v>
      </c>
      <c r="B446" s="9" t="s">
        <v>227</v>
      </c>
      <c r="C446" s="9" t="s">
        <v>1545</v>
      </c>
      <c r="D446" s="4" t="s">
        <v>820</v>
      </c>
      <c r="E446" s="14" t="s">
        <v>820</v>
      </c>
      <c r="F446" s="14" t="s">
        <v>821</v>
      </c>
      <c r="G446" s="14" t="s">
        <v>819</v>
      </c>
      <c r="H446" s="9" t="s">
        <v>1665</v>
      </c>
      <c r="I446" s="3">
        <v>272389.74576105137</v>
      </c>
      <c r="J446" s="3">
        <v>67559.535085221622</v>
      </c>
      <c r="K446" s="3">
        <f t="shared" si="14"/>
        <v>339949.280846273</v>
      </c>
      <c r="L446" s="3">
        <f>IFERROR(INDEX('CHIRP Payment Calc'!K:K,MATCH(A:A,'CHIRP Payment Calc'!A:A,0)),0)</f>
        <v>637945.70684601553</v>
      </c>
      <c r="M446" s="3">
        <f t="shared" si="15"/>
        <v>-297996.42599974253</v>
      </c>
    </row>
    <row r="447" spans="1:13">
      <c r="A447" s="9" t="s">
        <v>692</v>
      </c>
      <c r="B447" s="9" t="s">
        <v>227</v>
      </c>
      <c r="C447" s="9" t="s">
        <v>1545</v>
      </c>
      <c r="D447" s="4" t="s">
        <v>693</v>
      </c>
      <c r="E447" s="14" t="s">
        <v>693</v>
      </c>
      <c r="F447" s="14" t="s">
        <v>694</v>
      </c>
      <c r="G447" s="14" t="s">
        <v>692</v>
      </c>
      <c r="H447" s="9" t="s">
        <v>1889</v>
      </c>
      <c r="I447" s="3">
        <v>512247.93188698072</v>
      </c>
      <c r="J447" s="3">
        <v>360687.58120441221</v>
      </c>
      <c r="K447" s="3">
        <f t="shared" si="14"/>
        <v>872935.51309139293</v>
      </c>
      <c r="L447" s="3">
        <f>IFERROR(INDEX('CHIRP Payment Calc'!K:K,MATCH(A:A,'CHIRP Payment Calc'!A:A,0)),0)</f>
        <v>1210887.8198470762</v>
      </c>
      <c r="M447" s="3">
        <f t="shared" si="15"/>
        <v>-337952.30675568327</v>
      </c>
    </row>
    <row r="448" spans="1:13">
      <c r="A448" s="9" t="s">
        <v>895</v>
      </c>
      <c r="B448" s="9" t="s">
        <v>227</v>
      </c>
      <c r="C448" s="9" t="s">
        <v>1545</v>
      </c>
      <c r="D448" s="4" t="s">
        <v>896</v>
      </c>
      <c r="E448" s="14" t="s">
        <v>896</v>
      </c>
      <c r="F448" s="14" t="s">
        <v>897</v>
      </c>
      <c r="G448" s="14" t="s">
        <v>895</v>
      </c>
      <c r="H448" s="9" t="s">
        <v>1888</v>
      </c>
      <c r="I448" s="3">
        <v>856007.44362025335</v>
      </c>
      <c r="J448" s="3">
        <v>142080.75998255346</v>
      </c>
      <c r="K448" s="3">
        <f t="shared" si="14"/>
        <v>998088.20360280678</v>
      </c>
      <c r="L448" s="3">
        <f>IFERROR(INDEX('CHIRP Payment Calc'!K:K,MATCH(A:A,'CHIRP Payment Calc'!A:A,0)),0)</f>
        <v>1993774.8513114825</v>
      </c>
      <c r="M448" s="3">
        <f t="shared" si="15"/>
        <v>-995686.64770867571</v>
      </c>
    </row>
    <row r="449" spans="1:13">
      <c r="A449" s="9" t="s">
        <v>665</v>
      </c>
      <c r="B449" s="9" t="s">
        <v>227</v>
      </c>
      <c r="C449" s="9" t="s">
        <v>1545</v>
      </c>
      <c r="D449" s="4" t="s">
        <v>666</v>
      </c>
      <c r="E449" s="14" t="s">
        <v>666</v>
      </c>
      <c r="F449" s="14" t="s">
        <v>667</v>
      </c>
      <c r="G449" s="14" t="s">
        <v>665</v>
      </c>
      <c r="H449" s="9" t="s">
        <v>1887</v>
      </c>
      <c r="I449" s="3">
        <v>545793.85989223176</v>
      </c>
      <c r="J449" s="3">
        <v>141675.13699910219</v>
      </c>
      <c r="K449" s="3">
        <f t="shared" si="14"/>
        <v>687468.99689133395</v>
      </c>
      <c r="L449" s="3">
        <f>IFERROR(INDEX('CHIRP Payment Calc'!K:K,MATCH(A:A,'CHIRP Payment Calc'!A:A,0)),0)</f>
        <v>920962.73598457908</v>
      </c>
      <c r="M449" s="3">
        <f t="shared" si="15"/>
        <v>-233493.73909324512</v>
      </c>
    </row>
    <row r="450" spans="1:13">
      <c r="A450" s="9" t="s">
        <v>491</v>
      </c>
      <c r="B450" s="9" t="s">
        <v>227</v>
      </c>
      <c r="C450" s="9" t="s">
        <v>1545</v>
      </c>
      <c r="D450" s="4" t="s">
        <v>492</v>
      </c>
      <c r="E450" s="14" t="s">
        <v>492</v>
      </c>
      <c r="F450" s="14" t="s">
        <v>493</v>
      </c>
      <c r="G450" s="14" t="s">
        <v>491</v>
      </c>
      <c r="H450" s="9" t="s">
        <v>1886</v>
      </c>
      <c r="I450" s="3">
        <v>43974.030057716773</v>
      </c>
      <c r="J450" s="3">
        <v>21185.859132276841</v>
      </c>
      <c r="K450" s="3">
        <f t="shared" si="14"/>
        <v>65159.889189993613</v>
      </c>
      <c r="L450" s="3">
        <f>IFERROR(INDEX('CHIRP Payment Calc'!K:K,MATCH(A:A,'CHIRP Payment Calc'!A:A,0)),0)</f>
        <v>0</v>
      </c>
      <c r="M450" s="3">
        <f t="shared" si="15"/>
        <v>65159.889189993613</v>
      </c>
    </row>
    <row r="451" spans="1:13">
      <c r="A451" s="9" t="s">
        <v>471</v>
      </c>
      <c r="B451" s="9" t="s">
        <v>227</v>
      </c>
      <c r="C451" s="9" t="s">
        <v>1545</v>
      </c>
      <c r="D451" s="4" t="s">
        <v>472</v>
      </c>
      <c r="E451" s="14" t="s">
        <v>472</v>
      </c>
      <c r="F451" s="14" t="s">
        <v>473</v>
      </c>
      <c r="G451" s="14" t="s">
        <v>471</v>
      </c>
      <c r="H451" s="9" t="s">
        <v>1885</v>
      </c>
      <c r="I451" s="3">
        <v>5056539.9639384141</v>
      </c>
      <c r="J451" s="3">
        <v>1601923.3856011643</v>
      </c>
      <c r="K451" s="3">
        <f t="shared" si="14"/>
        <v>6658463.349539578</v>
      </c>
      <c r="L451" s="3">
        <f>IFERROR(INDEX('CHIRP Payment Calc'!K:K,MATCH(A:A,'CHIRP Payment Calc'!A:A,0)),0)</f>
        <v>12735398.397335066</v>
      </c>
      <c r="M451" s="3">
        <f t="shared" si="15"/>
        <v>-6076935.0477954876</v>
      </c>
    </row>
    <row r="452" spans="1:13">
      <c r="A452" s="9" t="s">
        <v>314</v>
      </c>
      <c r="B452" s="9" t="s">
        <v>227</v>
      </c>
      <c r="C452" s="9" t="s">
        <v>1545</v>
      </c>
      <c r="D452" s="4" t="s">
        <v>315</v>
      </c>
      <c r="E452" s="14" t="s">
        <v>315</v>
      </c>
      <c r="F452" s="14" t="s">
        <v>316</v>
      </c>
      <c r="G452" s="14" t="s">
        <v>314</v>
      </c>
      <c r="H452" s="9" t="s">
        <v>1884</v>
      </c>
      <c r="I452" s="3">
        <v>746424.87330299849</v>
      </c>
      <c r="J452" s="3">
        <v>139160.20474538018</v>
      </c>
      <c r="K452" s="3">
        <f t="shared" si="14"/>
        <v>885585.07804837869</v>
      </c>
      <c r="L452" s="3">
        <f>IFERROR(INDEX('CHIRP Payment Calc'!K:K,MATCH(A:A,'CHIRP Payment Calc'!A:A,0)),0)</f>
        <v>1922666.6972452719</v>
      </c>
      <c r="M452" s="3">
        <f t="shared" si="15"/>
        <v>-1037081.6191968932</v>
      </c>
    </row>
    <row r="453" spans="1:13">
      <c r="A453" s="9" t="s">
        <v>668</v>
      </c>
      <c r="B453" s="9" t="s">
        <v>227</v>
      </c>
      <c r="C453" s="9" t="s">
        <v>1545</v>
      </c>
      <c r="D453" s="4" t="s">
        <v>669</v>
      </c>
      <c r="E453" s="14" t="s">
        <v>669</v>
      </c>
      <c r="F453" s="14" t="s">
        <v>670</v>
      </c>
      <c r="G453" s="14" t="s">
        <v>668</v>
      </c>
      <c r="H453" s="9" t="s">
        <v>1883</v>
      </c>
      <c r="I453" s="3">
        <v>652447.90501952625</v>
      </c>
      <c r="J453" s="3">
        <v>84866.299773181658</v>
      </c>
      <c r="K453" s="3">
        <f t="shared" si="14"/>
        <v>737314.20479270793</v>
      </c>
      <c r="L453" s="3">
        <f>IFERROR(INDEX('CHIRP Payment Calc'!K:K,MATCH(A:A,'CHIRP Payment Calc'!A:A,0)),0)</f>
        <v>1325517.811146528</v>
      </c>
      <c r="M453" s="3">
        <f t="shared" si="15"/>
        <v>-588203.60635382007</v>
      </c>
    </row>
    <row r="454" spans="1:13">
      <c r="A454" s="9" t="s">
        <v>765</v>
      </c>
      <c r="B454" s="9" t="s">
        <v>227</v>
      </c>
      <c r="C454" s="9" t="s">
        <v>1545</v>
      </c>
      <c r="D454" s="4" t="s">
        <v>766</v>
      </c>
      <c r="E454" s="14" t="s">
        <v>766</v>
      </c>
      <c r="F454" s="14" t="s">
        <v>767</v>
      </c>
      <c r="G454" s="14" t="s">
        <v>765</v>
      </c>
      <c r="H454" s="9" t="s">
        <v>1882</v>
      </c>
      <c r="I454" s="3">
        <v>515500.13789081096</v>
      </c>
      <c r="J454" s="3">
        <v>103537.86202817292</v>
      </c>
      <c r="K454" s="3">
        <f t="shared" si="14"/>
        <v>619037.9999189839</v>
      </c>
      <c r="L454" s="3">
        <f>IFERROR(INDEX('CHIRP Payment Calc'!K:K,MATCH(A:A,'CHIRP Payment Calc'!A:A,0)),0)</f>
        <v>1210897.2233566756</v>
      </c>
      <c r="M454" s="3">
        <f t="shared" si="15"/>
        <v>-591859.22343769169</v>
      </c>
    </row>
    <row r="455" spans="1:13">
      <c r="A455" s="9" t="s">
        <v>844</v>
      </c>
      <c r="B455" s="9" t="s">
        <v>227</v>
      </c>
      <c r="C455" s="9" t="s">
        <v>1545</v>
      </c>
      <c r="D455" s="4" t="s">
        <v>845</v>
      </c>
      <c r="E455" s="14" t="s">
        <v>845</v>
      </c>
      <c r="F455" s="14" t="s">
        <v>846</v>
      </c>
      <c r="G455" s="14" t="s">
        <v>844</v>
      </c>
      <c r="H455" s="9" t="s">
        <v>1881</v>
      </c>
      <c r="I455" s="3">
        <v>1398550.6654980308</v>
      </c>
      <c r="J455" s="3">
        <v>108795.85018694212</v>
      </c>
      <c r="K455" s="3">
        <f t="shared" si="14"/>
        <v>1507346.515684973</v>
      </c>
      <c r="L455" s="3">
        <f>IFERROR(INDEX('CHIRP Payment Calc'!K:K,MATCH(A:A,'CHIRP Payment Calc'!A:A,0)),0)</f>
        <v>2596527.6761275106</v>
      </c>
      <c r="M455" s="3">
        <f t="shared" si="15"/>
        <v>-1089181.1604425376</v>
      </c>
    </row>
    <row r="456" spans="1:13">
      <c r="A456" s="9" t="s">
        <v>801</v>
      </c>
      <c r="B456" s="9" t="s">
        <v>227</v>
      </c>
      <c r="C456" s="9" t="s">
        <v>1545</v>
      </c>
      <c r="D456" s="4" t="s">
        <v>802</v>
      </c>
      <c r="E456" s="14" t="s">
        <v>802</v>
      </c>
      <c r="F456" s="14" t="s">
        <v>803</v>
      </c>
      <c r="G456" s="14" t="s">
        <v>801</v>
      </c>
      <c r="H456" s="9" t="s">
        <v>1880</v>
      </c>
      <c r="I456" s="3">
        <v>151158.07275827628</v>
      </c>
      <c r="J456" s="3">
        <v>18066.312912805741</v>
      </c>
      <c r="K456" s="3">
        <f t="shared" ref="K456:K519" si="16">I456+J456</f>
        <v>169224.38567108201</v>
      </c>
      <c r="L456" s="3">
        <f>IFERROR(INDEX('CHIRP Payment Calc'!K:K,MATCH(A:A,'CHIRP Payment Calc'!A:A,0)),0)</f>
        <v>202149.17639420589</v>
      </c>
      <c r="M456" s="3">
        <f t="shared" ref="M456:M519" si="17">K456-L456</f>
        <v>-32924.790723123879</v>
      </c>
    </row>
    <row r="457" spans="1:13">
      <c r="A457" s="9" t="s">
        <v>359</v>
      </c>
      <c r="B457" s="9" t="s">
        <v>227</v>
      </c>
      <c r="C457" s="9" t="s">
        <v>1545</v>
      </c>
      <c r="D457" s="4" t="s">
        <v>360</v>
      </c>
      <c r="E457" s="14" t="s">
        <v>360</v>
      </c>
      <c r="F457" s="14" t="s">
        <v>361</v>
      </c>
      <c r="G457" s="14" t="s">
        <v>359</v>
      </c>
      <c r="H457" s="9" t="s">
        <v>1630</v>
      </c>
      <c r="I457" s="3">
        <v>886010.36650015088</v>
      </c>
      <c r="J457" s="3">
        <v>126715.74293529942</v>
      </c>
      <c r="K457" s="3">
        <f t="shared" si="16"/>
        <v>1012726.1094354503</v>
      </c>
      <c r="L457" s="3">
        <f>IFERROR(INDEX('CHIRP Payment Calc'!K:K,MATCH(A:A,'CHIRP Payment Calc'!A:A,0)),0)</f>
        <v>1968544.96861207</v>
      </c>
      <c r="M457" s="3">
        <f t="shared" si="17"/>
        <v>-955818.85917661968</v>
      </c>
    </row>
    <row r="458" spans="1:13">
      <c r="A458" s="9" t="s">
        <v>735</v>
      </c>
      <c r="B458" s="9" t="s">
        <v>227</v>
      </c>
      <c r="C458" s="9" t="s">
        <v>1545</v>
      </c>
      <c r="D458" s="4" t="s">
        <v>736</v>
      </c>
      <c r="E458" s="14" t="s">
        <v>736</v>
      </c>
      <c r="F458" s="14" t="s">
        <v>737</v>
      </c>
      <c r="G458" s="14" t="s">
        <v>735</v>
      </c>
      <c r="H458" s="9" t="s">
        <v>1681</v>
      </c>
      <c r="I458" s="3">
        <v>209523.09145763612</v>
      </c>
      <c r="J458" s="3">
        <v>115286.55123839623</v>
      </c>
      <c r="K458" s="3">
        <f t="shared" si="16"/>
        <v>324809.64269603236</v>
      </c>
      <c r="L458" s="3">
        <f>IFERROR(INDEX('CHIRP Payment Calc'!K:K,MATCH(A:A,'CHIRP Payment Calc'!A:A,0)),0)</f>
        <v>500648.30459112395</v>
      </c>
      <c r="M458" s="3">
        <f t="shared" si="17"/>
        <v>-175838.66189509159</v>
      </c>
    </row>
    <row r="459" spans="1:13">
      <c r="A459" s="9" t="s">
        <v>698</v>
      </c>
      <c r="B459" s="9" t="s">
        <v>227</v>
      </c>
      <c r="C459" s="9" t="s">
        <v>1545</v>
      </c>
      <c r="D459" s="4" t="s">
        <v>699</v>
      </c>
      <c r="E459" s="14" t="s">
        <v>699</v>
      </c>
      <c r="F459" s="14" t="s">
        <v>700</v>
      </c>
      <c r="G459" s="14" t="s">
        <v>698</v>
      </c>
      <c r="H459" s="9" t="s">
        <v>1879</v>
      </c>
      <c r="I459" s="3">
        <v>135144.48094846724</v>
      </c>
      <c r="J459" s="3">
        <v>288691.56366941216</v>
      </c>
      <c r="K459" s="3">
        <f t="shared" si="16"/>
        <v>423836.04461787944</v>
      </c>
      <c r="L459" s="3">
        <f>IFERROR(INDEX('CHIRP Payment Calc'!K:K,MATCH(A:A,'CHIRP Payment Calc'!A:A,0)),0)</f>
        <v>421707.41462852422</v>
      </c>
      <c r="M459" s="3">
        <f t="shared" si="17"/>
        <v>2128.6299893552205</v>
      </c>
    </row>
    <row r="460" spans="1:13">
      <c r="A460" s="9" t="s">
        <v>155</v>
      </c>
      <c r="B460" s="9" t="s">
        <v>227</v>
      </c>
      <c r="C460" s="9" t="s">
        <v>1545</v>
      </c>
      <c r="D460" s="4" t="s">
        <v>156</v>
      </c>
      <c r="E460" s="14" t="s">
        <v>156</v>
      </c>
      <c r="F460" s="14" t="s">
        <v>157</v>
      </c>
      <c r="G460" s="14" t="s">
        <v>155</v>
      </c>
      <c r="H460" s="9" t="s">
        <v>1878</v>
      </c>
      <c r="I460" s="3">
        <v>304752.87674738426</v>
      </c>
      <c r="J460" s="3">
        <v>264945.08714714582</v>
      </c>
      <c r="K460" s="3">
        <f t="shared" si="16"/>
        <v>569697.96389453008</v>
      </c>
      <c r="L460" s="3">
        <f>IFERROR(INDEX('CHIRP Payment Calc'!K:K,MATCH(A:A,'CHIRP Payment Calc'!A:A,0)),0)</f>
        <v>957577.589224617</v>
      </c>
      <c r="M460" s="3">
        <f t="shared" si="17"/>
        <v>-387879.62533008691</v>
      </c>
    </row>
    <row r="461" spans="1:13">
      <c r="A461" s="9" t="s">
        <v>1745</v>
      </c>
      <c r="B461" s="9" t="s">
        <v>227</v>
      </c>
      <c r="C461" s="9" t="s">
        <v>1545</v>
      </c>
      <c r="D461" s="4" t="s">
        <v>1744</v>
      </c>
      <c r="E461" s="14" t="s">
        <v>1744</v>
      </c>
      <c r="F461" s="14" t="s">
        <v>1762</v>
      </c>
      <c r="G461" s="14" t="s">
        <v>1745</v>
      </c>
      <c r="H461" s="9" t="s">
        <v>1762</v>
      </c>
      <c r="I461" s="3">
        <v>52887.715284429381</v>
      </c>
      <c r="J461" s="3">
        <v>10886.067102202154</v>
      </c>
      <c r="K461" s="3">
        <f t="shared" si="16"/>
        <v>63773.782386631538</v>
      </c>
      <c r="L461" s="3">
        <f>IFERROR(INDEX('CHIRP Payment Calc'!K:K,MATCH(A:A,'CHIRP Payment Calc'!A:A,0)),0)</f>
        <v>80554.854387117404</v>
      </c>
      <c r="M461" s="3">
        <f t="shared" si="17"/>
        <v>-16781.072000485867</v>
      </c>
    </row>
    <row r="462" spans="1:13">
      <c r="A462" s="9" t="s">
        <v>617</v>
      </c>
      <c r="B462" s="9" t="s">
        <v>227</v>
      </c>
      <c r="C462" s="9" t="s">
        <v>1545</v>
      </c>
      <c r="D462" s="4" t="s">
        <v>618</v>
      </c>
      <c r="E462" s="14" t="s">
        <v>618</v>
      </c>
      <c r="F462" s="14" t="s">
        <v>619</v>
      </c>
      <c r="G462" s="14" t="s">
        <v>617</v>
      </c>
      <c r="H462" s="9" t="s">
        <v>1732</v>
      </c>
      <c r="I462" s="3">
        <v>19218.467098799683</v>
      </c>
      <c r="J462" s="3">
        <v>13208.456112285563</v>
      </c>
      <c r="K462" s="3">
        <f t="shared" si="16"/>
        <v>32426.923211085246</v>
      </c>
      <c r="L462" s="3">
        <f>IFERROR(INDEX('CHIRP Payment Calc'!K:K,MATCH(A:A,'CHIRP Payment Calc'!A:A,0)),0)</f>
        <v>0</v>
      </c>
      <c r="M462" s="3">
        <f t="shared" si="17"/>
        <v>32426.923211085246</v>
      </c>
    </row>
    <row r="463" spans="1:13">
      <c r="A463" s="9" t="s">
        <v>956</v>
      </c>
      <c r="B463" s="9" t="s">
        <v>227</v>
      </c>
      <c r="C463" s="9" t="s">
        <v>1545</v>
      </c>
      <c r="D463" s="4" t="s">
        <v>957</v>
      </c>
      <c r="E463" s="14" t="s">
        <v>957</v>
      </c>
      <c r="F463" s="14" t="s">
        <v>958</v>
      </c>
      <c r="G463" s="14" t="s">
        <v>956</v>
      </c>
      <c r="H463" s="9" t="s">
        <v>1642</v>
      </c>
      <c r="I463" s="3">
        <v>1648848.162378923</v>
      </c>
      <c r="J463" s="3">
        <v>600278.7152176724</v>
      </c>
      <c r="K463" s="3">
        <f t="shared" si="16"/>
        <v>2249126.8775965953</v>
      </c>
      <c r="L463" s="3">
        <f>IFERROR(INDEX('CHIRP Payment Calc'!K:K,MATCH(A:A,'CHIRP Payment Calc'!A:A,0)),0)</f>
        <v>4096186.1899677692</v>
      </c>
      <c r="M463" s="3">
        <f t="shared" si="17"/>
        <v>-1847059.3123711739</v>
      </c>
    </row>
    <row r="464" spans="1:13">
      <c r="A464" s="9" t="s">
        <v>732</v>
      </c>
      <c r="B464" s="9" t="s">
        <v>227</v>
      </c>
      <c r="C464" s="9" t="s">
        <v>1545</v>
      </c>
      <c r="D464" s="4" t="s">
        <v>733</v>
      </c>
      <c r="E464" s="14" t="s">
        <v>733</v>
      </c>
      <c r="F464" s="14" t="s">
        <v>734</v>
      </c>
      <c r="G464" s="14" t="s">
        <v>732</v>
      </c>
      <c r="H464" s="9" t="s">
        <v>1877</v>
      </c>
      <c r="I464" s="3">
        <v>206224.93761795713</v>
      </c>
      <c r="J464" s="3">
        <v>6529.884064226103</v>
      </c>
      <c r="K464" s="3">
        <f t="shared" si="16"/>
        <v>212754.82168218322</v>
      </c>
      <c r="L464" s="3">
        <f>IFERROR(INDEX('CHIRP Payment Calc'!K:K,MATCH(A:A,'CHIRP Payment Calc'!A:A,0)),0)</f>
        <v>237332.38582011079</v>
      </c>
      <c r="M464" s="3">
        <f t="shared" si="17"/>
        <v>-24577.564137927577</v>
      </c>
    </row>
    <row r="465" spans="1:13">
      <c r="A465" s="9" t="s">
        <v>1162</v>
      </c>
      <c r="B465" s="9" t="s">
        <v>227</v>
      </c>
      <c r="C465" s="9" t="s">
        <v>1554</v>
      </c>
      <c r="D465" s="4" t="s">
        <v>1163</v>
      </c>
      <c r="E465" s="14" t="s">
        <v>1163</v>
      </c>
      <c r="F465" s="14" t="s">
        <v>1164</v>
      </c>
      <c r="G465" s="14" t="s">
        <v>1162</v>
      </c>
      <c r="H465" s="9" t="s">
        <v>1876</v>
      </c>
      <c r="I465" s="3">
        <v>7220184.7274975628</v>
      </c>
      <c r="J465" s="3">
        <v>3932433.1757844333</v>
      </c>
      <c r="K465" s="3">
        <f t="shared" si="16"/>
        <v>11152617.903281996</v>
      </c>
      <c r="L465" s="3">
        <f>IFERROR(INDEX('CHIRP Payment Calc'!K:K,MATCH(A:A,'CHIRP Payment Calc'!A:A,0)),0)</f>
        <v>17547667.94689972</v>
      </c>
      <c r="M465" s="3">
        <f t="shared" si="17"/>
        <v>-6395050.0436177235</v>
      </c>
    </row>
    <row r="466" spans="1:13">
      <c r="A466" s="9" t="s">
        <v>114</v>
      </c>
      <c r="B466" s="9" t="s">
        <v>1548</v>
      </c>
      <c r="C466" s="9" t="s">
        <v>1594</v>
      </c>
      <c r="D466" s="4" t="s">
        <v>115</v>
      </c>
      <c r="E466" s="14" t="s">
        <v>115</v>
      </c>
      <c r="F466" s="14" t="s">
        <v>116</v>
      </c>
      <c r="G466" s="14" t="s">
        <v>114</v>
      </c>
      <c r="H466" s="9" t="s">
        <v>1696</v>
      </c>
      <c r="I466" s="3">
        <v>118751297.15357794</v>
      </c>
      <c r="J466" s="3">
        <v>410235.25971352769</v>
      </c>
      <c r="K466" s="3">
        <f t="shared" si="16"/>
        <v>119161532.41329147</v>
      </c>
      <c r="L466" s="3">
        <f>IFERROR(INDEX('CHIRP Payment Calc'!K:K,MATCH(A:A,'CHIRP Payment Calc'!A:A,0)),0)</f>
        <v>144286406.24787503</v>
      </c>
      <c r="M466" s="3">
        <f t="shared" si="17"/>
        <v>-25124873.834583566</v>
      </c>
    </row>
    <row r="467" spans="1:13">
      <c r="A467" s="9" t="s">
        <v>611</v>
      </c>
      <c r="B467" s="9" t="s">
        <v>1548</v>
      </c>
      <c r="C467" s="9" t="s">
        <v>1553</v>
      </c>
      <c r="D467" s="4" t="s">
        <v>612</v>
      </c>
      <c r="E467" s="14" t="s">
        <v>612</v>
      </c>
      <c r="F467" s="14" t="s">
        <v>613</v>
      </c>
      <c r="G467" s="14" t="s">
        <v>611</v>
      </c>
      <c r="H467" s="9" t="s">
        <v>1875</v>
      </c>
      <c r="I467" s="3">
        <v>2164705.1339259082</v>
      </c>
      <c r="J467" s="3">
        <v>2013937.1829845768</v>
      </c>
      <c r="K467" s="3">
        <f t="shared" si="16"/>
        <v>4178642.3169104848</v>
      </c>
      <c r="L467" s="3">
        <f>IFERROR(INDEX('CHIRP Payment Calc'!K:K,MATCH(A:A,'CHIRP Payment Calc'!A:A,0)),0)</f>
        <v>5864842.2432030439</v>
      </c>
      <c r="M467" s="3">
        <f t="shared" si="17"/>
        <v>-1686199.9262925591</v>
      </c>
    </row>
    <row r="468" spans="1:13">
      <c r="A468" s="9" t="s">
        <v>1515</v>
      </c>
      <c r="B468" s="15" t="s">
        <v>300</v>
      </c>
      <c r="C468" s="15" t="s">
        <v>1796</v>
      </c>
      <c r="D468" s="4" t="s">
        <v>1516</v>
      </c>
      <c r="E468" s="14" t="e">
        <v>#N/A</v>
      </c>
      <c r="F468" s="14" t="e">
        <v>#N/A</v>
      </c>
      <c r="G468" s="14" t="e">
        <v>#N/A</v>
      </c>
      <c r="H468" s="9" t="s">
        <v>2141</v>
      </c>
      <c r="I468" s="3">
        <v>721205.58119373117</v>
      </c>
      <c r="J468" s="3">
        <v>0</v>
      </c>
      <c r="K468" s="3">
        <f t="shared" si="16"/>
        <v>721205.58119373117</v>
      </c>
      <c r="L468" s="3">
        <f>IFERROR(INDEX('CHIRP Payment Calc'!K:K,MATCH(A:A,'CHIRP Payment Calc'!A:A,0)),0)</f>
        <v>1753412.7108707305</v>
      </c>
      <c r="M468" s="3">
        <f t="shared" si="17"/>
        <v>-1032207.1296769993</v>
      </c>
    </row>
    <row r="469" spans="1:13">
      <c r="A469" s="9" t="s">
        <v>551</v>
      </c>
      <c r="B469" s="9" t="s">
        <v>1548</v>
      </c>
      <c r="C469" s="9" t="s">
        <v>222</v>
      </c>
      <c r="D469" s="4" t="s">
        <v>552</v>
      </c>
      <c r="E469" s="14" t="s">
        <v>552</v>
      </c>
      <c r="F469" s="14" t="s">
        <v>553</v>
      </c>
      <c r="G469" s="14" t="s">
        <v>551</v>
      </c>
      <c r="H469" s="9" t="s">
        <v>1873</v>
      </c>
      <c r="I469" s="3">
        <v>356424.638041133</v>
      </c>
      <c r="J469" s="3">
        <v>106227.20578422872</v>
      </c>
      <c r="K469" s="3">
        <f t="shared" si="16"/>
        <v>462651.84382536169</v>
      </c>
      <c r="L469" s="3">
        <f>IFERROR(INDEX('CHIRP Payment Calc'!K:K,MATCH(A:A,'CHIRP Payment Calc'!A:A,0)),0)</f>
        <v>0</v>
      </c>
      <c r="M469" s="3">
        <f t="shared" si="17"/>
        <v>462651.84382536169</v>
      </c>
    </row>
    <row r="470" spans="1:13">
      <c r="A470" s="9" t="s">
        <v>1539</v>
      </c>
      <c r="B470" s="9" t="s">
        <v>1548</v>
      </c>
      <c r="C470" s="9" t="s">
        <v>222</v>
      </c>
      <c r="D470" s="4" t="s">
        <v>1540</v>
      </c>
      <c r="E470" s="14" t="s">
        <v>1540</v>
      </c>
      <c r="F470" s="14" t="s">
        <v>1541</v>
      </c>
      <c r="G470" s="14" t="s">
        <v>1539</v>
      </c>
      <c r="H470" s="9" t="s">
        <v>1872</v>
      </c>
      <c r="I470" s="3">
        <v>0</v>
      </c>
      <c r="J470" s="3">
        <v>0</v>
      </c>
      <c r="K470" s="3">
        <f t="shared" si="16"/>
        <v>0</v>
      </c>
      <c r="L470" s="3">
        <f>IFERROR(INDEX('CHIRP Payment Calc'!K:K,MATCH(A:A,'CHIRP Payment Calc'!A:A,0)),0)</f>
        <v>0</v>
      </c>
      <c r="M470" s="3">
        <f t="shared" si="17"/>
        <v>0</v>
      </c>
    </row>
    <row r="471" spans="1:13">
      <c r="A471" s="9" t="s">
        <v>1870</v>
      </c>
      <c r="B471" s="9" t="s">
        <v>1548</v>
      </c>
      <c r="C471" s="9" t="s">
        <v>222</v>
      </c>
      <c r="D471" s="4" t="s">
        <v>1871</v>
      </c>
      <c r="E471" s="14" t="s">
        <v>1871</v>
      </c>
      <c r="F471" s="14" t="e">
        <v>#N/A</v>
      </c>
      <c r="G471" s="14" t="s">
        <v>1870</v>
      </c>
      <c r="H471" s="9" t="s">
        <v>1869</v>
      </c>
      <c r="I471" s="3">
        <v>0</v>
      </c>
      <c r="J471" s="3">
        <v>0</v>
      </c>
      <c r="K471" s="3">
        <f t="shared" si="16"/>
        <v>0</v>
      </c>
      <c r="L471" s="3">
        <f>IFERROR(INDEX('CHIRP Payment Calc'!K:K,MATCH(A:A,'CHIRP Payment Calc'!A:A,0)),0)</f>
        <v>0</v>
      </c>
      <c r="M471" s="3">
        <f t="shared" si="17"/>
        <v>0</v>
      </c>
    </row>
    <row r="472" spans="1:13">
      <c r="A472" s="9" t="s">
        <v>335</v>
      </c>
      <c r="B472" s="9" t="s">
        <v>1548</v>
      </c>
      <c r="C472" s="9" t="s">
        <v>222</v>
      </c>
      <c r="D472" s="4" t="s">
        <v>336</v>
      </c>
      <c r="E472" s="14" t="s">
        <v>336</v>
      </c>
      <c r="F472" s="14" t="s">
        <v>337</v>
      </c>
      <c r="G472" s="14" t="s">
        <v>335</v>
      </c>
      <c r="H472" s="9" t="s">
        <v>1868</v>
      </c>
      <c r="I472" s="3">
        <v>0</v>
      </c>
      <c r="J472" s="3">
        <v>0</v>
      </c>
      <c r="K472" s="3">
        <f t="shared" si="16"/>
        <v>0</v>
      </c>
      <c r="L472" s="3">
        <f>IFERROR(INDEX('CHIRP Payment Calc'!K:K,MATCH(A:A,'CHIRP Payment Calc'!A:A,0)),0)</f>
        <v>0</v>
      </c>
      <c r="M472" s="3">
        <f t="shared" si="17"/>
        <v>0</v>
      </c>
    </row>
    <row r="473" spans="1:13">
      <c r="A473" s="9" t="s">
        <v>506</v>
      </c>
      <c r="B473" s="9" t="s">
        <v>1548</v>
      </c>
      <c r="C473" s="9" t="s">
        <v>222</v>
      </c>
      <c r="D473" s="4" t="s">
        <v>507</v>
      </c>
      <c r="E473" s="14" t="s">
        <v>507</v>
      </c>
      <c r="F473" s="14" t="s">
        <v>508</v>
      </c>
      <c r="G473" s="14" t="s">
        <v>506</v>
      </c>
      <c r="H473" s="9" t="s">
        <v>1867</v>
      </c>
      <c r="I473" s="3">
        <v>20793892.006635178</v>
      </c>
      <c r="J473" s="3">
        <v>7395824.4762746952</v>
      </c>
      <c r="K473" s="3">
        <f t="shared" si="16"/>
        <v>28189716.482909873</v>
      </c>
      <c r="L473" s="3">
        <f>IFERROR(INDEX('CHIRP Payment Calc'!K:K,MATCH(A:A,'CHIRP Payment Calc'!A:A,0)),0)</f>
        <v>39247460.049906112</v>
      </c>
      <c r="M473" s="3">
        <f t="shared" si="17"/>
        <v>-11057743.566996239</v>
      </c>
    </row>
    <row r="474" spans="1:13">
      <c r="A474" s="9" t="s">
        <v>329</v>
      </c>
      <c r="B474" s="9" t="s">
        <v>1548</v>
      </c>
      <c r="C474" s="9" t="s">
        <v>222</v>
      </c>
      <c r="D474" s="4" t="s">
        <v>330</v>
      </c>
      <c r="E474" s="14" t="s">
        <v>330</v>
      </c>
      <c r="F474" s="14" t="s">
        <v>331</v>
      </c>
      <c r="G474" s="14" t="s">
        <v>329</v>
      </c>
      <c r="H474" s="9" t="s">
        <v>1866</v>
      </c>
      <c r="I474" s="3">
        <v>0</v>
      </c>
      <c r="J474" s="3">
        <v>0</v>
      </c>
      <c r="K474" s="3">
        <f t="shared" si="16"/>
        <v>0</v>
      </c>
      <c r="L474" s="3">
        <f>IFERROR(INDEX('CHIRP Payment Calc'!K:K,MATCH(A:A,'CHIRP Payment Calc'!A:A,0)),0)</f>
        <v>0</v>
      </c>
      <c r="M474" s="3">
        <f t="shared" si="17"/>
        <v>0</v>
      </c>
    </row>
    <row r="475" spans="1:13">
      <c r="A475" s="9" t="s">
        <v>1395</v>
      </c>
      <c r="B475" s="9" t="s">
        <v>1548</v>
      </c>
      <c r="C475" s="9" t="s">
        <v>222</v>
      </c>
      <c r="D475" s="4" t="s">
        <v>1396</v>
      </c>
      <c r="E475" s="14" t="s">
        <v>1396</v>
      </c>
      <c r="F475" s="14" t="s">
        <v>1397</v>
      </c>
      <c r="G475" s="14" t="s">
        <v>1395</v>
      </c>
      <c r="H475" s="9" t="s">
        <v>1701</v>
      </c>
      <c r="I475" s="3">
        <v>38386.339467054095</v>
      </c>
      <c r="J475" s="3">
        <v>316484.61498195346</v>
      </c>
      <c r="K475" s="3">
        <f t="shared" si="16"/>
        <v>354870.95444900758</v>
      </c>
      <c r="L475" s="3">
        <f>IFERROR(INDEX('CHIRP Payment Calc'!K:K,MATCH(A:A,'CHIRP Payment Calc'!A:A,0)),0)</f>
        <v>0</v>
      </c>
      <c r="M475" s="3">
        <f t="shared" si="17"/>
        <v>354870.95444900758</v>
      </c>
    </row>
    <row r="476" spans="1:13">
      <c r="A476" s="9" t="s">
        <v>1552</v>
      </c>
      <c r="B476" s="9" t="s">
        <v>1548</v>
      </c>
      <c r="C476" s="9" t="s">
        <v>222</v>
      </c>
      <c r="D476" s="4" t="s">
        <v>1697</v>
      </c>
      <c r="E476" s="14" t="s">
        <v>1697</v>
      </c>
      <c r="F476" s="14" t="s">
        <v>477</v>
      </c>
      <c r="G476" s="14" t="s">
        <v>1552</v>
      </c>
      <c r="H476" s="9" t="s">
        <v>1865</v>
      </c>
      <c r="I476" s="3">
        <v>5680828.2448568055</v>
      </c>
      <c r="J476" s="3">
        <v>2864163.9548656275</v>
      </c>
      <c r="K476" s="3">
        <f t="shared" si="16"/>
        <v>8544992.1997224335</v>
      </c>
      <c r="L476" s="3">
        <f>IFERROR(INDEX('CHIRP Payment Calc'!K:K,MATCH(A:A,'CHIRP Payment Calc'!A:A,0)),0)</f>
        <v>10982956.874235222</v>
      </c>
      <c r="M476" s="3">
        <f t="shared" si="17"/>
        <v>-2437964.6745127887</v>
      </c>
    </row>
    <row r="477" spans="1:13">
      <c r="A477" s="9" t="s">
        <v>311</v>
      </c>
      <c r="B477" s="9" t="s">
        <v>1548</v>
      </c>
      <c r="C477" s="9" t="s">
        <v>222</v>
      </c>
      <c r="D477" s="4" t="s">
        <v>1864</v>
      </c>
      <c r="E477" s="14" t="s">
        <v>312</v>
      </c>
      <c r="F477" s="14" t="s">
        <v>313</v>
      </c>
      <c r="G477" s="14" t="s">
        <v>311</v>
      </c>
      <c r="H477" s="9" t="s">
        <v>1863</v>
      </c>
      <c r="I477" s="3">
        <v>0</v>
      </c>
      <c r="J477" s="3">
        <v>0</v>
      </c>
      <c r="K477" s="3">
        <f t="shared" si="16"/>
        <v>0</v>
      </c>
      <c r="L477" s="3">
        <f>IFERROR(INDEX('CHIRP Payment Calc'!K:K,MATCH(A:A,'CHIRP Payment Calc'!A:A,0)),0)</f>
        <v>0</v>
      </c>
      <c r="M477" s="3">
        <f t="shared" si="17"/>
        <v>0</v>
      </c>
    </row>
    <row r="478" spans="1:13">
      <c r="A478" s="9" t="s">
        <v>73</v>
      </c>
      <c r="B478" s="9" t="s">
        <v>1548</v>
      </c>
      <c r="C478" s="9" t="s">
        <v>1479</v>
      </c>
      <c r="D478" s="4" t="s">
        <v>74</v>
      </c>
      <c r="E478" s="14" t="s">
        <v>74</v>
      </c>
      <c r="F478" s="14" t="s">
        <v>75</v>
      </c>
      <c r="G478" s="14" t="s">
        <v>73</v>
      </c>
      <c r="H478" s="9" t="s">
        <v>1862</v>
      </c>
      <c r="I478" s="3">
        <v>2392498.6805992355</v>
      </c>
      <c r="J478" s="3">
        <v>1445618.4617287086</v>
      </c>
      <c r="K478" s="3">
        <f t="shared" si="16"/>
        <v>3838117.1423279438</v>
      </c>
      <c r="L478" s="3">
        <f>IFERROR(INDEX('CHIRP Payment Calc'!K:K,MATCH(A:A,'CHIRP Payment Calc'!A:A,0)),0)</f>
        <v>5230687.3646648834</v>
      </c>
      <c r="M478" s="3">
        <f t="shared" si="17"/>
        <v>-1392570.2223369395</v>
      </c>
    </row>
    <row r="479" spans="1:13">
      <c r="A479" s="9" t="s">
        <v>608</v>
      </c>
      <c r="B479" s="9" t="s">
        <v>1548</v>
      </c>
      <c r="C479" s="9" t="s">
        <v>1479</v>
      </c>
      <c r="D479" s="4" t="s">
        <v>609</v>
      </c>
      <c r="E479" s="14" t="s">
        <v>609</v>
      </c>
      <c r="F479" s="14" t="s">
        <v>610</v>
      </c>
      <c r="G479" s="14" t="s">
        <v>608</v>
      </c>
      <c r="H479" s="9" t="s">
        <v>1861</v>
      </c>
      <c r="I479" s="3">
        <v>2371938.8657005066</v>
      </c>
      <c r="J479" s="3">
        <v>1099623.4903880849</v>
      </c>
      <c r="K479" s="3">
        <f t="shared" si="16"/>
        <v>3471562.3560885917</v>
      </c>
      <c r="L479" s="3">
        <f>IFERROR(INDEX('CHIRP Payment Calc'!K:K,MATCH(A:A,'CHIRP Payment Calc'!A:A,0)),0)</f>
        <v>5284991.6995858364</v>
      </c>
      <c r="M479" s="3">
        <f t="shared" si="17"/>
        <v>-1813429.3434972446</v>
      </c>
    </row>
    <row r="480" spans="1:13">
      <c r="A480" s="9" t="s">
        <v>602</v>
      </c>
      <c r="B480" s="9" t="s">
        <v>1548</v>
      </c>
      <c r="C480" s="9" t="s">
        <v>1479</v>
      </c>
      <c r="D480" s="4" t="s">
        <v>603</v>
      </c>
      <c r="E480" s="14" t="s">
        <v>603</v>
      </c>
      <c r="F480" s="14" t="s">
        <v>604</v>
      </c>
      <c r="G480" s="14" t="s">
        <v>602</v>
      </c>
      <c r="H480" s="9" t="s">
        <v>1860</v>
      </c>
      <c r="I480" s="3">
        <v>2839992.8721295632</v>
      </c>
      <c r="J480" s="3">
        <v>996758.6393487259</v>
      </c>
      <c r="K480" s="3">
        <f t="shared" si="16"/>
        <v>3836751.511478289</v>
      </c>
      <c r="L480" s="3">
        <f>IFERROR(INDEX('CHIRP Payment Calc'!K:K,MATCH(A:A,'CHIRP Payment Calc'!A:A,0)),0)</f>
        <v>5426346.1372489352</v>
      </c>
      <c r="M480" s="3">
        <f t="shared" si="17"/>
        <v>-1589594.6257706461</v>
      </c>
    </row>
    <row r="481" spans="1:13">
      <c r="A481" s="9" t="s">
        <v>850</v>
      </c>
      <c r="B481" s="9" t="s">
        <v>1548</v>
      </c>
      <c r="C481" s="9" t="s">
        <v>1545</v>
      </c>
      <c r="D481" s="4" t="s">
        <v>851</v>
      </c>
      <c r="E481" s="14" t="s">
        <v>851</v>
      </c>
      <c r="F481" s="14" t="s">
        <v>852</v>
      </c>
      <c r="G481" s="14" t="s">
        <v>850</v>
      </c>
      <c r="H481" s="9" t="s">
        <v>1660</v>
      </c>
      <c r="I481" s="3">
        <v>1012428.8615903972</v>
      </c>
      <c r="J481" s="3">
        <v>451692.28012832522</v>
      </c>
      <c r="K481" s="3">
        <f t="shared" si="16"/>
        <v>1464121.1417187224</v>
      </c>
      <c r="L481" s="3">
        <f>IFERROR(INDEX('CHIRP Payment Calc'!K:K,MATCH(A:A,'CHIRP Payment Calc'!A:A,0)),0)</f>
        <v>2012669.2545753939</v>
      </c>
      <c r="M481" s="3">
        <f t="shared" si="17"/>
        <v>-548548.11285667145</v>
      </c>
    </row>
    <row r="482" spans="1:13">
      <c r="A482" s="9" t="s">
        <v>195</v>
      </c>
      <c r="B482" s="9" t="s">
        <v>1548</v>
      </c>
      <c r="C482" s="9" t="s">
        <v>1545</v>
      </c>
      <c r="D482" s="4" t="s">
        <v>196</v>
      </c>
      <c r="E482" s="14" t="s">
        <v>196</v>
      </c>
      <c r="F482" s="14" t="s">
        <v>197</v>
      </c>
      <c r="G482" s="14" t="s">
        <v>195</v>
      </c>
      <c r="H482" s="9" t="s">
        <v>1859</v>
      </c>
      <c r="I482" s="3">
        <v>615612.78117883077</v>
      </c>
      <c r="J482" s="3">
        <v>152351.83648488292</v>
      </c>
      <c r="K482" s="3">
        <f t="shared" si="16"/>
        <v>767964.61766371364</v>
      </c>
      <c r="L482" s="3">
        <f>IFERROR(INDEX('CHIRP Payment Calc'!K:K,MATCH(A:A,'CHIRP Payment Calc'!A:A,0)),0)</f>
        <v>885871.20243127539</v>
      </c>
      <c r="M482" s="3">
        <f t="shared" si="17"/>
        <v>-117906.58476756176</v>
      </c>
    </row>
    <row r="483" spans="1:13">
      <c r="A483" s="9" t="s">
        <v>989</v>
      </c>
      <c r="B483" s="9" t="s">
        <v>1548</v>
      </c>
      <c r="C483" s="9" t="s">
        <v>1545</v>
      </c>
      <c r="D483" s="4" t="s">
        <v>990</v>
      </c>
      <c r="E483" s="14" t="s">
        <v>990</v>
      </c>
      <c r="F483" s="14" t="s">
        <v>991</v>
      </c>
      <c r="G483" s="14" t="s">
        <v>989</v>
      </c>
      <c r="H483" s="9" t="s">
        <v>1629</v>
      </c>
      <c r="I483" s="3">
        <v>293379.42057664623</v>
      </c>
      <c r="J483" s="3">
        <v>209413.53247130214</v>
      </c>
      <c r="K483" s="3">
        <f t="shared" si="16"/>
        <v>502792.95304794837</v>
      </c>
      <c r="L483" s="3">
        <f>IFERROR(INDEX('CHIRP Payment Calc'!K:K,MATCH(A:A,'CHIRP Payment Calc'!A:A,0)),0)</f>
        <v>602264.26402914419</v>
      </c>
      <c r="M483" s="3">
        <f t="shared" si="17"/>
        <v>-99471.310981195827</v>
      </c>
    </row>
    <row r="484" spans="1:13">
      <c r="A484" s="9" t="s">
        <v>1555</v>
      </c>
      <c r="B484" s="9" t="s">
        <v>1548</v>
      </c>
      <c r="C484" s="9" t="s">
        <v>1554</v>
      </c>
      <c r="D484" s="4" t="s">
        <v>1711</v>
      </c>
      <c r="E484" s="14" t="s">
        <v>1711</v>
      </c>
      <c r="F484" s="14" t="s">
        <v>728</v>
      </c>
      <c r="G484" s="14" t="s">
        <v>1555</v>
      </c>
      <c r="H484" s="9" t="s">
        <v>1858</v>
      </c>
      <c r="I484" s="3">
        <v>12122078.059088843</v>
      </c>
      <c r="J484" s="3">
        <v>16272792.80816772</v>
      </c>
      <c r="K484" s="3">
        <f t="shared" si="16"/>
        <v>28394870.867256563</v>
      </c>
      <c r="L484" s="3">
        <f>IFERROR(INDEX('CHIRP Payment Calc'!K:K,MATCH(A:A,'CHIRP Payment Calc'!A:A,0)),0)</f>
        <v>34306284.421263754</v>
      </c>
      <c r="M484" s="3">
        <f t="shared" si="17"/>
        <v>-5911413.5540071912</v>
      </c>
    </row>
    <row r="485" spans="1:13">
      <c r="A485" s="9" t="s">
        <v>85</v>
      </c>
      <c r="B485" s="9" t="s">
        <v>1365</v>
      </c>
      <c r="C485" s="9" t="s">
        <v>1594</v>
      </c>
      <c r="D485" s="4" t="s">
        <v>86</v>
      </c>
      <c r="E485" s="14" t="s">
        <v>86</v>
      </c>
      <c r="F485" s="14" t="s">
        <v>87</v>
      </c>
      <c r="G485" s="14" t="s">
        <v>85</v>
      </c>
      <c r="H485" s="9" t="s">
        <v>1857</v>
      </c>
      <c r="I485" s="3">
        <v>177866596.47597089</v>
      </c>
      <c r="J485" s="3">
        <v>757366.82728482108</v>
      </c>
      <c r="K485" s="3">
        <f t="shared" si="16"/>
        <v>178623963.30325571</v>
      </c>
      <c r="L485" s="3">
        <f>IFERROR(INDEX('CHIRP Payment Calc'!K:K,MATCH(A:A,'CHIRP Payment Calc'!A:A,0)),0)</f>
        <v>238025734.5865719</v>
      </c>
      <c r="M485" s="3">
        <f t="shared" si="17"/>
        <v>-59401771.283316195</v>
      </c>
    </row>
    <row r="486" spans="1:13">
      <c r="A486" s="9" t="s">
        <v>1274</v>
      </c>
      <c r="B486" s="9" t="s">
        <v>1365</v>
      </c>
      <c r="C486" s="9" t="s">
        <v>1796</v>
      </c>
      <c r="D486" s="4" t="s">
        <v>1275</v>
      </c>
      <c r="E486" s="14" t="s">
        <v>1275</v>
      </c>
      <c r="F486" s="14" t="s">
        <v>1276</v>
      </c>
      <c r="G486" s="14" t="s">
        <v>1274</v>
      </c>
      <c r="H486" s="9" t="s">
        <v>1856</v>
      </c>
      <c r="I486" s="3">
        <v>4623700.1272091931</v>
      </c>
      <c r="J486" s="3">
        <v>0</v>
      </c>
      <c r="K486" s="3">
        <f t="shared" si="16"/>
        <v>4623700.1272091931</v>
      </c>
      <c r="L486" s="3">
        <f>IFERROR(INDEX('CHIRP Payment Calc'!K:K,MATCH(A:A,'CHIRP Payment Calc'!A:A,0)),0)</f>
        <v>3991742.687376603</v>
      </c>
      <c r="M486" s="3">
        <f t="shared" si="17"/>
        <v>631957.43983259005</v>
      </c>
    </row>
    <row r="487" spans="1:13">
      <c r="A487" s="9" t="s">
        <v>1221</v>
      </c>
      <c r="B487" s="9" t="s">
        <v>1365</v>
      </c>
      <c r="C487" s="9" t="s">
        <v>1796</v>
      </c>
      <c r="D487" s="4" t="s">
        <v>1222</v>
      </c>
      <c r="E487" s="14" t="s">
        <v>1222</v>
      </c>
      <c r="F487" s="14" t="s">
        <v>1223</v>
      </c>
      <c r="G487" s="14" t="s">
        <v>1221</v>
      </c>
      <c r="H487" s="9" t="s">
        <v>1855</v>
      </c>
      <c r="I487" s="3">
        <v>1137.1813054636809</v>
      </c>
      <c r="J487" s="3">
        <v>0</v>
      </c>
      <c r="K487" s="3">
        <f t="shared" si="16"/>
        <v>1137.1813054636809</v>
      </c>
      <c r="L487" s="3">
        <f>IFERROR(INDEX('CHIRP Payment Calc'!K:K,MATCH(A:A,'CHIRP Payment Calc'!A:A,0)),0)</f>
        <v>0</v>
      </c>
      <c r="M487" s="3">
        <f t="shared" si="17"/>
        <v>1137.1813054636809</v>
      </c>
    </row>
    <row r="488" spans="1:13">
      <c r="A488" s="9" t="s">
        <v>1362</v>
      </c>
      <c r="B488" s="9" t="s">
        <v>1365</v>
      </c>
      <c r="C488" s="9" t="s">
        <v>1796</v>
      </c>
      <c r="D488" s="4" t="s">
        <v>1854</v>
      </c>
      <c r="E488" s="14" t="s">
        <v>1363</v>
      </c>
      <c r="F488" s="14" t="s">
        <v>1364</v>
      </c>
      <c r="G488" s="14" t="s">
        <v>1362</v>
      </c>
      <c r="H488" s="9" t="s">
        <v>1853</v>
      </c>
      <c r="I488" s="3">
        <v>8229.4419559465241</v>
      </c>
      <c r="J488" s="3">
        <v>0</v>
      </c>
      <c r="K488" s="3">
        <f t="shared" si="16"/>
        <v>8229.4419559465241</v>
      </c>
      <c r="L488" s="3">
        <f>IFERROR(INDEX('CHIRP Payment Calc'!K:K,MATCH(A:A,'CHIRP Payment Calc'!A:A,0)),0)</f>
        <v>48456.179269536588</v>
      </c>
      <c r="M488" s="3">
        <f t="shared" si="17"/>
        <v>-40226.737313590063</v>
      </c>
    </row>
    <row r="489" spans="1:13">
      <c r="A489" s="9" t="s">
        <v>1271</v>
      </c>
      <c r="B489" s="9" t="s">
        <v>1365</v>
      </c>
      <c r="C489" s="9" t="s">
        <v>1796</v>
      </c>
      <c r="D489" s="4" t="s">
        <v>1272</v>
      </c>
      <c r="E489" s="14" t="s">
        <v>1272</v>
      </c>
      <c r="F489" s="14" t="s">
        <v>1273</v>
      </c>
      <c r="G489" s="14" t="s">
        <v>1271</v>
      </c>
      <c r="H489" s="9" t="s">
        <v>1852</v>
      </c>
      <c r="I489" s="3">
        <v>3150256.73784169</v>
      </c>
      <c r="J489" s="3">
        <v>0</v>
      </c>
      <c r="K489" s="3">
        <f t="shared" si="16"/>
        <v>3150256.73784169</v>
      </c>
      <c r="L489" s="3">
        <f>IFERROR(INDEX('CHIRP Payment Calc'!K:K,MATCH(A:A,'CHIRP Payment Calc'!A:A,0)),0)</f>
        <v>2286688.4973313375</v>
      </c>
      <c r="M489" s="3">
        <f t="shared" si="17"/>
        <v>863568.24051035242</v>
      </c>
    </row>
    <row r="490" spans="1:13">
      <c r="A490" s="9" t="s">
        <v>1324</v>
      </c>
      <c r="B490" s="9" t="s">
        <v>1365</v>
      </c>
      <c r="C490" s="9" t="s">
        <v>1796</v>
      </c>
      <c r="D490" s="4" t="s">
        <v>1325</v>
      </c>
      <c r="E490" s="14" t="s">
        <v>1325</v>
      </c>
      <c r="F490" s="14" t="s">
        <v>1326</v>
      </c>
      <c r="G490" s="14" t="s">
        <v>1324</v>
      </c>
      <c r="H490" s="9" t="s">
        <v>1851</v>
      </c>
      <c r="I490" s="3">
        <v>0</v>
      </c>
      <c r="J490" s="3">
        <v>0</v>
      </c>
      <c r="K490" s="3">
        <f t="shared" si="16"/>
        <v>0</v>
      </c>
      <c r="L490" s="3">
        <f>IFERROR(INDEX('CHIRP Payment Calc'!K:K,MATCH(A:A,'CHIRP Payment Calc'!A:A,0)),0)</f>
        <v>0</v>
      </c>
      <c r="M490" s="3">
        <f t="shared" si="17"/>
        <v>0</v>
      </c>
    </row>
    <row r="491" spans="1:13">
      <c r="A491" s="9" t="s">
        <v>1253</v>
      </c>
      <c r="B491" s="9" t="s">
        <v>1365</v>
      </c>
      <c r="C491" s="9" t="s">
        <v>1796</v>
      </c>
      <c r="D491" s="4" t="s">
        <v>1254</v>
      </c>
      <c r="E491" s="14" t="s">
        <v>1254</v>
      </c>
      <c r="F491" s="14" t="s">
        <v>1255</v>
      </c>
      <c r="G491" s="14" t="s">
        <v>1253</v>
      </c>
      <c r="H491" s="9" t="s">
        <v>1850</v>
      </c>
      <c r="I491" s="3">
        <v>0</v>
      </c>
      <c r="J491" s="3">
        <v>0</v>
      </c>
      <c r="K491" s="3">
        <f t="shared" si="16"/>
        <v>0</v>
      </c>
      <c r="L491" s="3">
        <f>IFERROR(INDEX('CHIRP Payment Calc'!K:K,MATCH(A:A,'CHIRP Payment Calc'!A:A,0)),0)</f>
        <v>219324.70019686164</v>
      </c>
      <c r="M491" s="3">
        <f t="shared" si="17"/>
        <v>-219324.70019686164</v>
      </c>
    </row>
    <row r="492" spans="1:13">
      <c r="A492" s="9" t="s">
        <v>1345</v>
      </c>
      <c r="B492" s="9" t="s">
        <v>1365</v>
      </c>
      <c r="C492" s="9" t="s">
        <v>1796</v>
      </c>
      <c r="D492" s="4" t="s">
        <v>1346</v>
      </c>
      <c r="E492" s="14" t="s">
        <v>1346</v>
      </c>
      <c r="F492" s="14" t="s">
        <v>1347</v>
      </c>
      <c r="G492" s="14" t="s">
        <v>1345</v>
      </c>
      <c r="H492" s="9" t="s">
        <v>1849</v>
      </c>
      <c r="I492" s="3">
        <v>1234056.9363257573</v>
      </c>
      <c r="J492" s="3">
        <v>0</v>
      </c>
      <c r="K492" s="3">
        <f t="shared" si="16"/>
        <v>1234056.9363257573</v>
      </c>
      <c r="L492" s="3">
        <f>IFERROR(INDEX('CHIRP Payment Calc'!K:K,MATCH(A:A,'CHIRP Payment Calc'!A:A,0)),0)</f>
        <v>1592580.4316981903</v>
      </c>
      <c r="M492" s="3">
        <f t="shared" si="17"/>
        <v>-358523.49537243298</v>
      </c>
    </row>
    <row r="493" spans="1:13">
      <c r="A493" s="9" t="s">
        <v>1116</v>
      </c>
      <c r="B493" s="9" t="s">
        <v>1365</v>
      </c>
      <c r="C493" s="9" t="s">
        <v>222</v>
      </c>
      <c r="D493" s="4" t="s">
        <v>1117</v>
      </c>
      <c r="E493" s="14" t="s">
        <v>1117</v>
      </c>
      <c r="F493" s="14" t="s">
        <v>1118</v>
      </c>
      <c r="G493" s="14" t="s">
        <v>1116</v>
      </c>
      <c r="H493" s="9" t="s">
        <v>1848</v>
      </c>
      <c r="I493" s="3">
        <v>4421024.6626616241</v>
      </c>
      <c r="J493" s="3">
        <v>2352852.6193137509</v>
      </c>
      <c r="K493" s="3">
        <f t="shared" si="16"/>
        <v>6773877.2819753755</v>
      </c>
      <c r="L493" s="3">
        <f>IFERROR(INDEX('CHIRP Payment Calc'!K:K,MATCH(A:A,'CHIRP Payment Calc'!A:A,0)),0)</f>
        <v>9781659.8155593779</v>
      </c>
      <c r="M493" s="3">
        <f t="shared" si="17"/>
        <v>-3007782.5335840024</v>
      </c>
    </row>
    <row r="494" spans="1:13">
      <c r="A494" s="9" t="s">
        <v>1110</v>
      </c>
      <c r="B494" s="9" t="s">
        <v>1365</v>
      </c>
      <c r="C494" s="9" t="s">
        <v>222</v>
      </c>
      <c r="D494" s="4" t="s">
        <v>1111</v>
      </c>
      <c r="E494" s="14" t="s">
        <v>1111</v>
      </c>
      <c r="F494" s="14" t="s">
        <v>1112</v>
      </c>
      <c r="G494" s="14" t="s">
        <v>1110</v>
      </c>
      <c r="H494" s="9" t="s">
        <v>1847</v>
      </c>
      <c r="I494" s="3">
        <v>4143735.9017699673</v>
      </c>
      <c r="J494" s="3">
        <v>5381701.227344186</v>
      </c>
      <c r="K494" s="3">
        <f t="shared" si="16"/>
        <v>9525437.1291141529</v>
      </c>
      <c r="L494" s="3">
        <f>IFERROR(INDEX('CHIRP Payment Calc'!K:K,MATCH(A:A,'CHIRP Payment Calc'!A:A,0)),0)</f>
        <v>13498889.308726583</v>
      </c>
      <c r="M494" s="3">
        <f t="shared" si="17"/>
        <v>-3973452.1796124298</v>
      </c>
    </row>
    <row r="495" spans="1:13">
      <c r="A495" s="9" t="s">
        <v>935</v>
      </c>
      <c r="B495" s="9" t="s">
        <v>1365</v>
      </c>
      <c r="C495" s="9" t="s">
        <v>222</v>
      </c>
      <c r="D495" s="4" t="s">
        <v>936</v>
      </c>
      <c r="E495" s="14" t="s">
        <v>936</v>
      </c>
      <c r="F495" s="14" t="s">
        <v>937</v>
      </c>
      <c r="G495" s="14" t="s">
        <v>935</v>
      </c>
      <c r="H495" s="9" t="s">
        <v>1846</v>
      </c>
      <c r="I495" s="3">
        <v>0</v>
      </c>
      <c r="J495" s="3">
        <v>0</v>
      </c>
      <c r="K495" s="3">
        <f t="shared" si="16"/>
        <v>0</v>
      </c>
      <c r="L495" s="3">
        <f>IFERROR(INDEX('CHIRP Payment Calc'!K:K,MATCH(A:A,'CHIRP Payment Calc'!A:A,0)),0)</f>
        <v>194230.17240227919</v>
      </c>
      <c r="M495" s="3">
        <f t="shared" si="17"/>
        <v>-194230.17240227919</v>
      </c>
    </row>
    <row r="496" spans="1:13">
      <c r="A496" s="9" t="s">
        <v>1561</v>
      </c>
      <c r="B496" s="9" t="s">
        <v>1365</v>
      </c>
      <c r="C496" s="9" t="s">
        <v>222</v>
      </c>
      <c r="D496" s="4" t="s">
        <v>1596</v>
      </c>
      <c r="E496" s="14" t="s">
        <v>1596</v>
      </c>
      <c r="F496" s="14" t="s">
        <v>1224</v>
      </c>
      <c r="G496" s="14" t="s">
        <v>1561</v>
      </c>
      <c r="H496" s="9" t="s">
        <v>1595</v>
      </c>
      <c r="I496" s="3">
        <v>4677962.3985591857</v>
      </c>
      <c r="J496" s="3">
        <v>1717894.3167358157</v>
      </c>
      <c r="K496" s="3">
        <f t="shared" si="16"/>
        <v>6395856.7152950019</v>
      </c>
      <c r="L496" s="3">
        <f>IFERROR(INDEX('CHIRP Payment Calc'!K:K,MATCH(A:A,'CHIRP Payment Calc'!A:A,0)),0)</f>
        <v>9711889.0768244602</v>
      </c>
      <c r="M496" s="3">
        <f t="shared" si="17"/>
        <v>-3316032.3615294583</v>
      </c>
    </row>
    <row r="497" spans="1:13">
      <c r="A497" s="9" t="s">
        <v>623</v>
      </c>
      <c r="B497" s="9" t="s">
        <v>1365</v>
      </c>
      <c r="C497" s="9" t="s">
        <v>222</v>
      </c>
      <c r="D497" s="4" t="s">
        <v>624</v>
      </c>
      <c r="E497" s="14" t="s">
        <v>624</v>
      </c>
      <c r="F497" s="14" t="s">
        <v>625</v>
      </c>
      <c r="G497" s="14" t="s">
        <v>623</v>
      </c>
      <c r="H497" s="9" t="s">
        <v>1845</v>
      </c>
      <c r="I497" s="3">
        <v>14226022.000838358</v>
      </c>
      <c r="J497" s="3">
        <v>2074874.7826543918</v>
      </c>
      <c r="K497" s="3">
        <f t="shared" si="16"/>
        <v>16300896.78349275</v>
      </c>
      <c r="L497" s="3">
        <f>IFERROR(INDEX('CHIRP Payment Calc'!K:K,MATCH(A:A,'CHIRP Payment Calc'!A:A,0)),0)</f>
        <v>30121622.530372616</v>
      </c>
      <c r="M497" s="3">
        <f t="shared" si="17"/>
        <v>-13820725.746879866</v>
      </c>
    </row>
    <row r="498" spans="1:13">
      <c r="A498" s="9" t="s">
        <v>1089</v>
      </c>
      <c r="B498" s="9" t="s">
        <v>1365</v>
      </c>
      <c r="C498" s="9" t="s">
        <v>222</v>
      </c>
      <c r="D498" s="4" t="s">
        <v>1090</v>
      </c>
      <c r="E498" s="14" t="s">
        <v>1090</v>
      </c>
      <c r="F498" s="14" t="s">
        <v>1091</v>
      </c>
      <c r="G498" s="14" t="s">
        <v>1089</v>
      </c>
      <c r="H498" s="9" t="s">
        <v>1844</v>
      </c>
      <c r="I498" s="3">
        <v>5041691.9543372486</v>
      </c>
      <c r="J498" s="3">
        <v>3094648.4913324378</v>
      </c>
      <c r="K498" s="3">
        <f t="shared" si="16"/>
        <v>8136340.4456696864</v>
      </c>
      <c r="L498" s="3">
        <f>IFERROR(INDEX('CHIRP Payment Calc'!K:K,MATCH(A:A,'CHIRP Payment Calc'!A:A,0)),0)</f>
        <v>10377393.088171143</v>
      </c>
      <c r="M498" s="3">
        <f t="shared" si="17"/>
        <v>-2241052.6425014567</v>
      </c>
    </row>
    <row r="499" spans="1:13">
      <c r="A499" s="9" t="s">
        <v>301</v>
      </c>
      <c r="B499" s="9" t="s">
        <v>1365</v>
      </c>
      <c r="C499" s="9" t="s">
        <v>222</v>
      </c>
      <c r="D499" s="4" t="s">
        <v>1843</v>
      </c>
      <c r="E499" s="14" t="s">
        <v>302</v>
      </c>
      <c r="F499" s="14" t="s">
        <v>303</v>
      </c>
      <c r="G499" s="14" t="s">
        <v>301</v>
      </c>
      <c r="H499" s="9" t="s">
        <v>1842</v>
      </c>
      <c r="I499" s="3">
        <v>0</v>
      </c>
      <c r="J499" s="3">
        <v>0</v>
      </c>
      <c r="K499" s="3">
        <f t="shared" si="16"/>
        <v>0</v>
      </c>
      <c r="L499" s="3">
        <f>IFERROR(INDEX('CHIRP Payment Calc'!K:K,MATCH(A:A,'CHIRP Payment Calc'!A:A,0)),0)</f>
        <v>0</v>
      </c>
      <c r="M499" s="3">
        <f t="shared" si="17"/>
        <v>0</v>
      </c>
    </row>
    <row r="500" spans="1:13">
      <c r="A500" s="9" t="s">
        <v>443</v>
      </c>
      <c r="B500" s="9" t="s">
        <v>1365</v>
      </c>
      <c r="C500" s="9" t="s">
        <v>222</v>
      </c>
      <c r="D500" s="4" t="s">
        <v>444</v>
      </c>
      <c r="E500" s="14" t="s">
        <v>444</v>
      </c>
      <c r="F500" s="14" t="s">
        <v>445</v>
      </c>
      <c r="G500" s="14" t="s">
        <v>443</v>
      </c>
      <c r="H500" s="9" t="s">
        <v>1841</v>
      </c>
      <c r="I500" s="3">
        <v>0</v>
      </c>
      <c r="J500" s="3">
        <v>0</v>
      </c>
      <c r="K500" s="3">
        <f t="shared" si="16"/>
        <v>0</v>
      </c>
      <c r="L500" s="3">
        <f>IFERROR(INDEX('CHIRP Payment Calc'!K:K,MATCH(A:A,'CHIRP Payment Calc'!A:A,0)),0)</f>
        <v>0</v>
      </c>
      <c r="M500" s="3">
        <f t="shared" si="17"/>
        <v>0</v>
      </c>
    </row>
    <row r="501" spans="1:13">
      <c r="A501" s="9" t="s">
        <v>1092</v>
      </c>
      <c r="B501" s="9" t="s">
        <v>1365</v>
      </c>
      <c r="C501" s="9" t="s">
        <v>222</v>
      </c>
      <c r="D501" s="4" t="s">
        <v>1093</v>
      </c>
      <c r="E501" s="14" t="s">
        <v>1093</v>
      </c>
      <c r="F501" s="14" t="s">
        <v>1094</v>
      </c>
      <c r="G501" s="14" t="s">
        <v>1092</v>
      </c>
      <c r="H501" s="9" t="s">
        <v>1840</v>
      </c>
      <c r="I501" s="3">
        <v>1562521.8055722031</v>
      </c>
      <c r="J501" s="3">
        <v>567429.32539011689</v>
      </c>
      <c r="K501" s="3">
        <f t="shared" si="16"/>
        <v>2129951.1309623201</v>
      </c>
      <c r="L501" s="3">
        <f>IFERROR(INDEX('CHIRP Payment Calc'!K:K,MATCH(A:A,'CHIRP Payment Calc'!A:A,0)),0)</f>
        <v>3639571.8078839178</v>
      </c>
      <c r="M501" s="3">
        <f t="shared" si="17"/>
        <v>-1509620.6769215977</v>
      </c>
    </row>
    <row r="502" spans="1:13">
      <c r="A502" s="9" t="s">
        <v>659</v>
      </c>
      <c r="B502" s="9" t="s">
        <v>1365</v>
      </c>
      <c r="C502" s="9" t="s">
        <v>222</v>
      </c>
      <c r="D502" s="4" t="s">
        <v>660</v>
      </c>
      <c r="E502" s="14" t="s">
        <v>660</v>
      </c>
      <c r="F502" s="14" t="s">
        <v>661</v>
      </c>
      <c r="G502" s="14" t="s">
        <v>659</v>
      </c>
      <c r="H502" s="9" t="s">
        <v>1839</v>
      </c>
      <c r="I502" s="3">
        <v>0</v>
      </c>
      <c r="J502" s="3">
        <v>0</v>
      </c>
      <c r="K502" s="3">
        <f t="shared" si="16"/>
        <v>0</v>
      </c>
      <c r="L502" s="3">
        <f>IFERROR(INDEX('CHIRP Payment Calc'!K:K,MATCH(A:A,'CHIRP Payment Calc'!A:A,0)),0)</f>
        <v>0</v>
      </c>
      <c r="M502" s="3">
        <f t="shared" si="17"/>
        <v>0</v>
      </c>
    </row>
    <row r="503" spans="1:13">
      <c r="A503" s="9" t="s">
        <v>828</v>
      </c>
      <c r="B503" s="9" t="s">
        <v>1365</v>
      </c>
      <c r="C503" s="9" t="s">
        <v>222</v>
      </c>
      <c r="D503" s="4" t="s">
        <v>829</v>
      </c>
      <c r="E503" s="14" t="s">
        <v>829</v>
      </c>
      <c r="F503" s="14" t="s">
        <v>830</v>
      </c>
      <c r="G503" s="14" t="s">
        <v>828</v>
      </c>
      <c r="H503" s="9" t="s">
        <v>1838</v>
      </c>
      <c r="I503" s="3">
        <v>2536011.41103371</v>
      </c>
      <c r="J503" s="3">
        <v>523309.20208913431</v>
      </c>
      <c r="K503" s="3">
        <f t="shared" si="16"/>
        <v>3059320.6131228441</v>
      </c>
      <c r="L503" s="3">
        <f>IFERROR(INDEX('CHIRP Payment Calc'!K:K,MATCH(A:A,'CHIRP Payment Calc'!A:A,0)),0)</f>
        <v>5197928.7894133423</v>
      </c>
      <c r="M503" s="3">
        <f t="shared" si="17"/>
        <v>-2138608.1762904981</v>
      </c>
    </row>
    <row r="504" spans="1:13">
      <c r="A504" s="9" t="s">
        <v>626</v>
      </c>
      <c r="B504" s="9" t="s">
        <v>1365</v>
      </c>
      <c r="C504" s="9" t="s">
        <v>222</v>
      </c>
      <c r="D504" s="4" t="s">
        <v>627</v>
      </c>
      <c r="E504" s="14" t="s">
        <v>627</v>
      </c>
      <c r="F504" s="14" t="s">
        <v>628</v>
      </c>
      <c r="G504" s="14" t="s">
        <v>626</v>
      </c>
      <c r="H504" s="9" t="s">
        <v>1837</v>
      </c>
      <c r="I504" s="3">
        <v>633364.3009344358</v>
      </c>
      <c r="J504" s="3">
        <v>2162293.3152594673</v>
      </c>
      <c r="K504" s="3">
        <f t="shared" si="16"/>
        <v>2795657.6161939031</v>
      </c>
      <c r="L504" s="3">
        <f>IFERROR(INDEX('CHIRP Payment Calc'!K:K,MATCH(A:A,'CHIRP Payment Calc'!A:A,0)),0)</f>
        <v>3568432.6384447021</v>
      </c>
      <c r="M504" s="3">
        <f t="shared" si="17"/>
        <v>-772775.022250799</v>
      </c>
    </row>
    <row r="505" spans="1:13">
      <c r="A505" s="9" t="s">
        <v>1101</v>
      </c>
      <c r="B505" s="9" t="s">
        <v>1365</v>
      </c>
      <c r="C505" s="9" t="s">
        <v>222</v>
      </c>
      <c r="D505" s="4" t="s">
        <v>1102</v>
      </c>
      <c r="E505" s="14" t="s">
        <v>1102</v>
      </c>
      <c r="F505" s="14" t="s">
        <v>1103</v>
      </c>
      <c r="G505" s="14" t="s">
        <v>1101</v>
      </c>
      <c r="H505" s="9" t="s">
        <v>1836</v>
      </c>
      <c r="I505" s="3">
        <v>18234950.647716425</v>
      </c>
      <c r="J505" s="3">
        <v>18497903.620186023</v>
      </c>
      <c r="K505" s="3">
        <f t="shared" si="16"/>
        <v>36732854.267902449</v>
      </c>
      <c r="L505" s="3">
        <f>IFERROR(INDEX('CHIRP Payment Calc'!K:K,MATCH(A:A,'CHIRP Payment Calc'!A:A,0)),0)</f>
        <v>44817394.514421761</v>
      </c>
      <c r="M505" s="3">
        <f t="shared" si="17"/>
        <v>-8084540.2465193123</v>
      </c>
    </row>
    <row r="506" spans="1:13">
      <c r="A506" s="9" t="s">
        <v>1098</v>
      </c>
      <c r="B506" s="9" t="s">
        <v>1365</v>
      </c>
      <c r="C506" s="9" t="s">
        <v>222</v>
      </c>
      <c r="D506" s="4" t="s">
        <v>1099</v>
      </c>
      <c r="E506" s="14" t="s">
        <v>1099</v>
      </c>
      <c r="F506" s="14" t="s">
        <v>1100</v>
      </c>
      <c r="G506" s="14" t="s">
        <v>1098</v>
      </c>
      <c r="H506" s="9" t="s">
        <v>1835</v>
      </c>
      <c r="I506" s="3">
        <v>1555515.2258921319</v>
      </c>
      <c r="J506" s="3">
        <v>1216311.6748973615</v>
      </c>
      <c r="K506" s="3">
        <f t="shared" si="16"/>
        <v>2771826.9007894937</v>
      </c>
      <c r="L506" s="3">
        <f>IFERROR(INDEX('CHIRP Payment Calc'!K:K,MATCH(A:A,'CHIRP Payment Calc'!A:A,0)),0)</f>
        <v>4076372.9055869859</v>
      </c>
      <c r="M506" s="3">
        <f t="shared" si="17"/>
        <v>-1304546.0047974922</v>
      </c>
    </row>
    <row r="507" spans="1:13">
      <c r="A507" s="9" t="s">
        <v>1403</v>
      </c>
      <c r="B507" s="9" t="s">
        <v>1365</v>
      </c>
      <c r="C507" s="9" t="s">
        <v>222</v>
      </c>
      <c r="D507" s="4" t="s">
        <v>1404</v>
      </c>
      <c r="E507" s="14" t="s">
        <v>1404</v>
      </c>
      <c r="F507" s="14" t="s">
        <v>1405</v>
      </c>
      <c r="G507" s="14" t="s">
        <v>1403</v>
      </c>
      <c r="H507" s="9" t="s">
        <v>1834</v>
      </c>
      <c r="I507" s="3">
        <v>0</v>
      </c>
      <c r="J507" s="3">
        <v>0</v>
      </c>
      <c r="K507" s="3">
        <f t="shared" si="16"/>
        <v>0</v>
      </c>
      <c r="L507" s="3">
        <f>IFERROR(INDEX('CHIRP Payment Calc'!K:K,MATCH(A:A,'CHIRP Payment Calc'!A:A,0)),0)</f>
        <v>0</v>
      </c>
      <c r="M507" s="3">
        <f t="shared" si="17"/>
        <v>0</v>
      </c>
    </row>
    <row r="508" spans="1:13">
      <c r="A508" s="9" t="s">
        <v>7</v>
      </c>
      <c r="B508" s="9" t="s">
        <v>1365</v>
      </c>
      <c r="C508" s="9" t="s">
        <v>222</v>
      </c>
      <c r="D508" s="4" t="s">
        <v>8</v>
      </c>
      <c r="E508" s="14" t="s">
        <v>8</v>
      </c>
      <c r="F508" s="14" t="s">
        <v>9</v>
      </c>
      <c r="G508" s="14" t="s">
        <v>7</v>
      </c>
      <c r="H508" s="9" t="s">
        <v>1833</v>
      </c>
      <c r="I508" s="3">
        <v>33523.526441429174</v>
      </c>
      <c r="J508" s="3">
        <v>123628.1511629845</v>
      </c>
      <c r="K508" s="3">
        <f t="shared" si="16"/>
        <v>157151.67760441368</v>
      </c>
      <c r="L508" s="3">
        <f>IFERROR(INDEX('CHIRP Payment Calc'!K:K,MATCH(A:A,'CHIRP Payment Calc'!A:A,0)),0)</f>
        <v>158580.25093913518</v>
      </c>
      <c r="M508" s="3">
        <f t="shared" si="17"/>
        <v>-1428.5733347214991</v>
      </c>
    </row>
    <row r="509" spans="1:13">
      <c r="A509" s="9" t="s">
        <v>1168</v>
      </c>
      <c r="B509" s="9" t="s">
        <v>1365</v>
      </c>
      <c r="C509" s="9" t="s">
        <v>222</v>
      </c>
      <c r="D509" s="4" t="s">
        <v>1169</v>
      </c>
      <c r="E509" s="14" t="s">
        <v>1169</v>
      </c>
      <c r="F509" s="14" t="s">
        <v>1170</v>
      </c>
      <c r="G509" s="14" t="s">
        <v>1168</v>
      </c>
      <c r="H509" s="9" t="s">
        <v>1832</v>
      </c>
      <c r="I509" s="3">
        <v>1558424.2384121178</v>
      </c>
      <c r="J509" s="3">
        <v>1451481.562033016</v>
      </c>
      <c r="K509" s="3">
        <f t="shared" si="16"/>
        <v>3009905.8004451338</v>
      </c>
      <c r="L509" s="3">
        <f>IFERROR(INDEX('CHIRP Payment Calc'!K:K,MATCH(A:A,'CHIRP Payment Calc'!A:A,0)),0)</f>
        <v>4727577.5105760042</v>
      </c>
      <c r="M509" s="3">
        <f t="shared" si="17"/>
        <v>-1717671.7101308703</v>
      </c>
    </row>
    <row r="510" spans="1:13">
      <c r="A510" s="9" t="s">
        <v>1104</v>
      </c>
      <c r="B510" s="9" t="s">
        <v>1365</v>
      </c>
      <c r="C510" s="9" t="s">
        <v>222</v>
      </c>
      <c r="D510" s="4" t="s">
        <v>1105</v>
      </c>
      <c r="E510" s="14" t="s">
        <v>1105</v>
      </c>
      <c r="F510" s="14" t="s">
        <v>1106</v>
      </c>
      <c r="G510" s="14" t="s">
        <v>1104</v>
      </c>
      <c r="H510" s="9" t="s">
        <v>1831</v>
      </c>
      <c r="I510" s="3">
        <v>6300006.0982818706</v>
      </c>
      <c r="J510" s="3">
        <v>3182569.4842539532</v>
      </c>
      <c r="K510" s="3">
        <f t="shared" si="16"/>
        <v>9482575.5825358238</v>
      </c>
      <c r="L510" s="3">
        <f>IFERROR(INDEX('CHIRP Payment Calc'!K:K,MATCH(A:A,'CHIRP Payment Calc'!A:A,0)),0)</f>
        <v>14430439.664326573</v>
      </c>
      <c r="M510" s="3">
        <f t="shared" si="17"/>
        <v>-4947864.081790749</v>
      </c>
    </row>
    <row r="511" spans="1:13">
      <c r="A511" s="9" t="s">
        <v>1419</v>
      </c>
      <c r="B511" s="9" t="s">
        <v>1365</v>
      </c>
      <c r="C511" s="9" t="s">
        <v>222</v>
      </c>
      <c r="D511" s="4" t="s">
        <v>1420</v>
      </c>
      <c r="E511" s="14" t="s">
        <v>1420</v>
      </c>
      <c r="F511" s="14" t="s">
        <v>1421</v>
      </c>
      <c r="G511" s="14" t="s">
        <v>1419</v>
      </c>
      <c r="H511" s="9" t="s">
        <v>1830</v>
      </c>
      <c r="I511" s="3">
        <v>0</v>
      </c>
      <c r="J511" s="3">
        <v>0</v>
      </c>
      <c r="K511" s="3">
        <f t="shared" si="16"/>
        <v>0</v>
      </c>
      <c r="L511" s="3">
        <f>IFERROR(INDEX('CHIRP Payment Calc'!K:K,MATCH(A:A,'CHIRP Payment Calc'!A:A,0)),0)</f>
        <v>0</v>
      </c>
      <c r="M511" s="3">
        <f t="shared" si="17"/>
        <v>0</v>
      </c>
    </row>
    <row r="512" spans="1:13">
      <c r="A512" s="9" t="s">
        <v>1095</v>
      </c>
      <c r="B512" s="9" t="s">
        <v>1365</v>
      </c>
      <c r="C512" s="9" t="s">
        <v>222</v>
      </c>
      <c r="D512" s="4" t="s">
        <v>1096</v>
      </c>
      <c r="E512" s="14" t="s">
        <v>1096</v>
      </c>
      <c r="F512" s="14" t="s">
        <v>1097</v>
      </c>
      <c r="G512" s="14" t="s">
        <v>1095</v>
      </c>
      <c r="H512" s="9" t="s">
        <v>1829</v>
      </c>
      <c r="I512" s="3">
        <v>437275.601460387</v>
      </c>
      <c r="J512" s="3">
        <v>719232.90632195154</v>
      </c>
      <c r="K512" s="3">
        <f t="shared" si="16"/>
        <v>1156508.5077823387</v>
      </c>
      <c r="L512" s="3">
        <f>IFERROR(INDEX('CHIRP Payment Calc'!K:K,MATCH(A:A,'CHIRP Payment Calc'!A:A,0)),0)</f>
        <v>1691403.808347763</v>
      </c>
      <c r="M512" s="3">
        <f t="shared" si="17"/>
        <v>-534895.30056542438</v>
      </c>
    </row>
    <row r="513" spans="1:13">
      <c r="A513" s="9" t="s">
        <v>635</v>
      </c>
      <c r="B513" s="9" t="s">
        <v>1365</v>
      </c>
      <c r="C513" s="9" t="s">
        <v>222</v>
      </c>
      <c r="D513" s="4" t="s">
        <v>636</v>
      </c>
      <c r="E513" s="14" t="s">
        <v>636</v>
      </c>
      <c r="F513" s="14" t="s">
        <v>637</v>
      </c>
      <c r="G513" s="14" t="s">
        <v>635</v>
      </c>
      <c r="H513" s="9" t="s">
        <v>1828</v>
      </c>
      <c r="I513" s="3">
        <v>564123.15981949074</v>
      </c>
      <c r="J513" s="3">
        <v>1247006.6495898492</v>
      </c>
      <c r="K513" s="3">
        <f t="shared" si="16"/>
        <v>1811129.8094093399</v>
      </c>
      <c r="L513" s="3">
        <f>IFERROR(INDEX('CHIRP Payment Calc'!K:K,MATCH(A:A,'CHIRP Payment Calc'!A:A,0)),0)</f>
        <v>2201788.4852332193</v>
      </c>
      <c r="M513" s="3">
        <f t="shared" si="17"/>
        <v>-390658.67582387943</v>
      </c>
    </row>
    <row r="514" spans="1:13">
      <c r="A514" s="9" t="e">
        <v>#N/A</v>
      </c>
      <c r="B514" s="9" t="s">
        <v>1365</v>
      </c>
      <c r="C514" s="9" t="s">
        <v>222</v>
      </c>
      <c r="D514" s="4" t="s">
        <v>1827</v>
      </c>
      <c r="E514" s="14" t="e">
        <v>#N/A</v>
      </c>
      <c r="F514" s="14" t="e">
        <v>#N/A</v>
      </c>
      <c r="G514" s="14" t="e">
        <v>#N/A</v>
      </c>
      <c r="H514" s="9" t="s">
        <v>1826</v>
      </c>
      <c r="I514" s="3">
        <v>0</v>
      </c>
      <c r="J514" s="3">
        <v>0</v>
      </c>
      <c r="K514" s="3">
        <f t="shared" si="16"/>
        <v>0</v>
      </c>
      <c r="L514" s="3">
        <f>IFERROR(INDEX('CHIRP Payment Calc'!K:K,MATCH(A:A,'CHIRP Payment Calc'!A:A,0)),0)</f>
        <v>0</v>
      </c>
      <c r="M514" s="3">
        <f t="shared" si="17"/>
        <v>0</v>
      </c>
    </row>
    <row r="515" spans="1:13">
      <c r="A515" s="9" t="s">
        <v>1409</v>
      </c>
      <c r="D515" s="4" t="s">
        <v>1647</v>
      </c>
      <c r="E515" s="14" t="s">
        <v>1647</v>
      </c>
      <c r="F515" s="14" t="s">
        <v>2077</v>
      </c>
      <c r="G515" s="14" t="s">
        <v>1409</v>
      </c>
      <c r="H515" s="9" t="s">
        <v>2077</v>
      </c>
      <c r="I515" s="3" t="e">
        <f>#REF!+#REF!</f>
        <v>#REF!</v>
      </c>
      <c r="J515" s="3" t="e">
        <f>#REF!+#REF!</f>
        <v>#REF!</v>
      </c>
      <c r="K515" s="3" t="e">
        <f t="shared" si="16"/>
        <v>#REF!</v>
      </c>
      <c r="L515" s="3">
        <f>IFERROR(INDEX('CHIRP Payment Calc'!K:K,MATCH(A:A,'CHIRP Payment Calc'!A:A,0)),0)</f>
        <v>8859239.5043372624</v>
      </c>
      <c r="M515" s="3" t="e">
        <f t="shared" si="17"/>
        <v>#REF!</v>
      </c>
    </row>
    <row r="516" spans="1:13">
      <c r="A516" s="9" t="s">
        <v>204</v>
      </c>
      <c r="B516" s="9" t="s">
        <v>1365</v>
      </c>
      <c r="C516" s="9" t="s">
        <v>222</v>
      </c>
      <c r="D516" s="4" t="s">
        <v>205</v>
      </c>
      <c r="E516" s="14" t="s">
        <v>205</v>
      </c>
      <c r="F516" s="14" t="s">
        <v>206</v>
      </c>
      <c r="G516" s="14" t="s">
        <v>204</v>
      </c>
      <c r="H516" s="9" t="s">
        <v>1825</v>
      </c>
      <c r="I516" s="3">
        <v>0</v>
      </c>
      <c r="J516" s="3">
        <v>0</v>
      </c>
      <c r="K516" s="3">
        <f t="shared" si="16"/>
        <v>0</v>
      </c>
      <c r="L516" s="3">
        <f>IFERROR(INDEX('CHIRP Payment Calc'!K:K,MATCH(A:A,'CHIRP Payment Calc'!A:A,0)),0)</f>
        <v>0</v>
      </c>
      <c r="M516" s="3">
        <f t="shared" si="17"/>
        <v>0</v>
      </c>
    </row>
    <row r="517" spans="1:13">
      <c r="A517" s="9" t="s">
        <v>404</v>
      </c>
      <c r="B517" s="9" t="s">
        <v>1365</v>
      </c>
      <c r="C517" s="9" t="s">
        <v>222</v>
      </c>
      <c r="D517" s="4" t="s">
        <v>405</v>
      </c>
      <c r="E517" s="14" t="s">
        <v>405</v>
      </c>
      <c r="F517" s="14" t="s">
        <v>406</v>
      </c>
      <c r="G517" s="14" t="s">
        <v>404</v>
      </c>
      <c r="H517" s="9" t="s">
        <v>1824</v>
      </c>
      <c r="I517" s="3">
        <v>55936.646126578547</v>
      </c>
      <c r="J517" s="3">
        <v>38311.394953697411</v>
      </c>
      <c r="K517" s="3">
        <f t="shared" si="16"/>
        <v>94248.041080275958</v>
      </c>
      <c r="L517" s="3">
        <f>IFERROR(INDEX('CHIRP Payment Calc'!K:K,MATCH(A:A,'CHIRP Payment Calc'!A:A,0)),0)</f>
        <v>91754.057434715229</v>
      </c>
      <c r="M517" s="3">
        <f t="shared" si="17"/>
        <v>2493.9836455607292</v>
      </c>
    </row>
    <row r="518" spans="1:13">
      <c r="A518" s="9" t="s">
        <v>638</v>
      </c>
      <c r="B518" s="9" t="s">
        <v>1365</v>
      </c>
      <c r="C518" s="9" t="s">
        <v>222</v>
      </c>
      <c r="D518" s="4" t="s">
        <v>639</v>
      </c>
      <c r="E518" s="14" t="s">
        <v>639</v>
      </c>
      <c r="F518" s="14" t="s">
        <v>640</v>
      </c>
      <c r="G518" s="14" t="s">
        <v>638</v>
      </c>
      <c r="H518" s="9" t="s">
        <v>1823</v>
      </c>
      <c r="I518" s="3">
        <v>1416039.1799435292</v>
      </c>
      <c r="J518" s="3">
        <v>4336459.1534202658</v>
      </c>
      <c r="K518" s="3">
        <f t="shared" si="16"/>
        <v>5752498.3333637947</v>
      </c>
      <c r="L518" s="3">
        <f>IFERROR(INDEX('CHIRP Payment Calc'!K:K,MATCH(A:A,'CHIRP Payment Calc'!A:A,0)),0)</f>
        <v>9004914.9989420231</v>
      </c>
      <c r="M518" s="3">
        <f t="shared" si="17"/>
        <v>-3252416.6655782284</v>
      </c>
    </row>
    <row r="519" spans="1:13">
      <c r="A519" s="9" t="s">
        <v>468</v>
      </c>
      <c r="B519" s="9" t="s">
        <v>1365</v>
      </c>
      <c r="C519" s="9" t="s">
        <v>222</v>
      </c>
      <c r="D519" s="4" t="s">
        <v>469</v>
      </c>
      <c r="E519" s="14" t="s">
        <v>469</v>
      </c>
      <c r="F519" s="14" t="s">
        <v>470</v>
      </c>
      <c r="G519" s="14" t="s">
        <v>468</v>
      </c>
      <c r="H519" s="9" t="s">
        <v>1579</v>
      </c>
      <c r="I519" s="3">
        <v>165691.00927211772</v>
      </c>
      <c r="J519" s="3">
        <v>419416.50936218415</v>
      </c>
      <c r="K519" s="3">
        <f t="shared" si="16"/>
        <v>585107.51863430184</v>
      </c>
      <c r="L519" s="3">
        <f>IFERROR(INDEX('CHIRP Payment Calc'!K:K,MATCH(A:A,'CHIRP Payment Calc'!A:A,0)),0)</f>
        <v>907079.83540065598</v>
      </c>
      <c r="M519" s="3">
        <f t="shared" si="17"/>
        <v>-321972.31676635414</v>
      </c>
    </row>
    <row r="520" spans="1:13">
      <c r="A520" s="9" t="s">
        <v>509</v>
      </c>
      <c r="B520" s="9" t="s">
        <v>1365</v>
      </c>
      <c r="C520" s="9" t="s">
        <v>222</v>
      </c>
      <c r="D520" s="4" t="s">
        <v>510</v>
      </c>
      <c r="E520" s="14" t="s">
        <v>510</v>
      </c>
      <c r="F520" s="14" t="s">
        <v>511</v>
      </c>
      <c r="G520" s="14" t="s">
        <v>509</v>
      </c>
      <c r="H520" s="9" t="s">
        <v>511</v>
      </c>
      <c r="I520" s="3">
        <v>11847883.680187967</v>
      </c>
      <c r="J520" s="3">
        <v>0</v>
      </c>
      <c r="K520" s="3">
        <f t="shared" ref="K520:K583" si="18">I520+J520</f>
        <v>11847883.680187967</v>
      </c>
      <c r="L520" s="3">
        <f>IFERROR(INDEX('CHIRP Payment Calc'!K:K,MATCH(A:A,'CHIRP Payment Calc'!A:A,0)),0)</f>
        <v>23365750.039850347</v>
      </c>
      <c r="M520" s="3">
        <f t="shared" ref="M520:M583" si="19">K520-L520</f>
        <v>-11517866.35966238</v>
      </c>
    </row>
    <row r="521" spans="1:13">
      <c r="A521" s="9" t="s">
        <v>120</v>
      </c>
      <c r="B521" s="9" t="s">
        <v>1365</v>
      </c>
      <c r="C521" s="9" t="s">
        <v>222</v>
      </c>
      <c r="D521" s="4" t="s">
        <v>121</v>
      </c>
      <c r="E521" s="14" t="s">
        <v>121</v>
      </c>
      <c r="F521" s="14" t="s">
        <v>122</v>
      </c>
      <c r="G521" s="14" t="s">
        <v>120</v>
      </c>
      <c r="H521" s="9" t="s">
        <v>1822</v>
      </c>
      <c r="I521" s="3">
        <v>0</v>
      </c>
      <c r="J521" s="3">
        <v>0</v>
      </c>
      <c r="K521" s="3">
        <f t="shared" si="18"/>
        <v>0</v>
      </c>
      <c r="L521" s="3">
        <f>IFERROR(INDEX('CHIRP Payment Calc'!K:K,MATCH(A:A,'CHIRP Payment Calc'!A:A,0)),0)</f>
        <v>556193.10259927716</v>
      </c>
      <c r="M521" s="3">
        <f t="shared" si="19"/>
        <v>-556193.10259927716</v>
      </c>
    </row>
    <row r="522" spans="1:13">
      <c r="A522" s="9" t="s">
        <v>264</v>
      </c>
      <c r="B522" s="9" t="s">
        <v>1365</v>
      </c>
      <c r="C522" s="9" t="s">
        <v>222</v>
      </c>
      <c r="D522" s="4" t="s">
        <v>265</v>
      </c>
      <c r="E522" s="14" t="s">
        <v>265</v>
      </c>
      <c r="F522" s="14" t="s">
        <v>266</v>
      </c>
      <c r="G522" s="14" t="s">
        <v>264</v>
      </c>
      <c r="H522" s="9" t="s">
        <v>1821</v>
      </c>
      <c r="I522" s="3">
        <v>2043621.2259649951</v>
      </c>
      <c r="J522" s="3">
        <v>778332.31864209566</v>
      </c>
      <c r="K522" s="3">
        <f t="shared" si="18"/>
        <v>2821953.5446070908</v>
      </c>
      <c r="L522" s="3">
        <f>IFERROR(INDEX('CHIRP Payment Calc'!K:K,MATCH(A:A,'CHIRP Payment Calc'!A:A,0)),0)</f>
        <v>4833121.6090255203</v>
      </c>
      <c r="M522" s="3">
        <f t="shared" si="19"/>
        <v>-2011168.0644184295</v>
      </c>
    </row>
    <row r="523" spans="1:13">
      <c r="A523" s="9" t="s">
        <v>1410</v>
      </c>
      <c r="B523" s="9" t="s">
        <v>1365</v>
      </c>
      <c r="C523" s="9" t="s">
        <v>222</v>
      </c>
      <c r="D523" s="4" t="s">
        <v>1411</v>
      </c>
      <c r="E523" s="14" t="s">
        <v>1411</v>
      </c>
      <c r="F523" s="14" t="s">
        <v>1412</v>
      </c>
      <c r="G523" s="14" t="s">
        <v>1410</v>
      </c>
      <c r="H523" s="9" t="s">
        <v>1412</v>
      </c>
      <c r="I523" s="3">
        <v>0</v>
      </c>
      <c r="J523" s="3">
        <v>0</v>
      </c>
      <c r="K523" s="3">
        <f t="shared" si="18"/>
        <v>0</v>
      </c>
      <c r="L523" s="3">
        <f>IFERROR(INDEX('CHIRP Payment Calc'!K:K,MATCH(A:A,'CHIRP Payment Calc'!A:A,0)),0)</f>
        <v>0</v>
      </c>
      <c r="M523" s="3">
        <f t="shared" si="19"/>
        <v>0</v>
      </c>
    </row>
    <row r="524" spans="1:13">
      <c r="A524" s="9" t="s">
        <v>1597</v>
      </c>
      <c r="B524" s="9" t="s">
        <v>1365</v>
      </c>
      <c r="C524" s="9" t="s">
        <v>222</v>
      </c>
      <c r="D524" s="4" t="s">
        <v>1598</v>
      </c>
      <c r="E524" s="14" t="s">
        <v>1598</v>
      </c>
      <c r="F524" s="14" t="e">
        <v>#N/A</v>
      </c>
      <c r="G524" s="14" t="s">
        <v>1597</v>
      </c>
      <c r="H524" s="9" t="s">
        <v>1820</v>
      </c>
      <c r="I524" s="3">
        <v>0</v>
      </c>
      <c r="J524" s="3">
        <v>0</v>
      </c>
      <c r="K524" s="3">
        <f t="shared" si="18"/>
        <v>0</v>
      </c>
      <c r="L524" s="3">
        <f>IFERROR(INDEX('CHIRP Payment Calc'!K:K,MATCH(A:A,'CHIRP Payment Calc'!A:A,0)),0)</f>
        <v>0</v>
      </c>
      <c r="M524" s="3">
        <f t="shared" si="19"/>
        <v>0</v>
      </c>
    </row>
    <row r="525" spans="1:13">
      <c r="A525" s="9" t="s">
        <v>1125</v>
      </c>
      <c r="B525" s="9" t="s">
        <v>1365</v>
      </c>
      <c r="C525" s="9" t="s">
        <v>222</v>
      </c>
      <c r="D525" s="4" t="s">
        <v>1126</v>
      </c>
      <c r="E525" s="14" t="s">
        <v>1126</v>
      </c>
      <c r="F525" s="14" t="s">
        <v>1127</v>
      </c>
      <c r="G525" s="14" t="s">
        <v>1125</v>
      </c>
      <c r="H525" s="9" t="s">
        <v>1819</v>
      </c>
      <c r="I525" s="3">
        <v>0</v>
      </c>
      <c r="J525" s="3">
        <v>0</v>
      </c>
      <c r="K525" s="3">
        <f t="shared" si="18"/>
        <v>0</v>
      </c>
      <c r="L525" s="3">
        <f>IFERROR(INDEX('CHIRP Payment Calc'!K:K,MATCH(A:A,'CHIRP Payment Calc'!A:A,0)),0)</f>
        <v>0</v>
      </c>
      <c r="M525" s="3">
        <f t="shared" si="19"/>
        <v>0</v>
      </c>
    </row>
    <row r="526" spans="1:13">
      <c r="A526" s="9" t="s">
        <v>1497</v>
      </c>
      <c r="B526" s="9" t="s">
        <v>1365</v>
      </c>
      <c r="C526" s="9" t="s">
        <v>222</v>
      </c>
      <c r="D526" s="4" t="s">
        <v>1498</v>
      </c>
      <c r="E526" s="14" t="s">
        <v>1498</v>
      </c>
      <c r="F526" s="14" t="s">
        <v>1499</v>
      </c>
      <c r="G526" s="14" t="s">
        <v>1497</v>
      </c>
      <c r="H526" s="9" t="s">
        <v>1818</v>
      </c>
      <c r="I526" s="3">
        <v>0</v>
      </c>
      <c r="J526" s="3">
        <v>0</v>
      </c>
      <c r="K526" s="3">
        <f t="shared" si="18"/>
        <v>0</v>
      </c>
      <c r="L526" s="3">
        <f>IFERROR(INDEX('CHIRP Payment Calc'!K:K,MATCH(A:A,'CHIRP Payment Calc'!A:A,0)),0)</f>
        <v>0</v>
      </c>
      <c r="M526" s="3">
        <f t="shared" si="19"/>
        <v>0</v>
      </c>
    </row>
    <row r="527" spans="1:13">
      <c r="A527" s="9" t="s">
        <v>1422</v>
      </c>
      <c r="B527" s="9" t="s">
        <v>1365</v>
      </c>
      <c r="C527" s="9" t="s">
        <v>222</v>
      </c>
      <c r="D527" s="4" t="s">
        <v>1423</v>
      </c>
      <c r="E527" s="14" t="s">
        <v>1423</v>
      </c>
      <c r="F527" s="14" t="s">
        <v>1424</v>
      </c>
      <c r="G527" s="14" t="s">
        <v>1422</v>
      </c>
      <c r="H527" s="9" t="s">
        <v>1679</v>
      </c>
      <c r="I527" s="3">
        <v>0</v>
      </c>
      <c r="J527" s="3">
        <v>0</v>
      </c>
      <c r="K527" s="3">
        <f t="shared" si="18"/>
        <v>0</v>
      </c>
      <c r="L527" s="3">
        <f>IFERROR(INDEX('CHIRP Payment Calc'!K:K,MATCH(A:A,'CHIRP Payment Calc'!A:A,0)),0)</f>
        <v>0</v>
      </c>
      <c r="M527" s="3">
        <f t="shared" si="19"/>
        <v>0</v>
      </c>
    </row>
    <row r="528" spans="1:13">
      <c r="A528" s="9" t="s">
        <v>149</v>
      </c>
      <c r="B528" s="9" t="s">
        <v>1365</v>
      </c>
      <c r="C528" s="9" t="s">
        <v>222</v>
      </c>
      <c r="D528" s="4" t="s">
        <v>150</v>
      </c>
      <c r="E528" s="14" t="s">
        <v>150</v>
      </c>
      <c r="F528" s="14" t="s">
        <v>151</v>
      </c>
      <c r="G528" s="14" t="s">
        <v>149</v>
      </c>
      <c r="H528" s="9" t="s">
        <v>1817</v>
      </c>
      <c r="I528" s="3">
        <v>0</v>
      </c>
      <c r="J528" s="3">
        <v>0</v>
      </c>
      <c r="K528" s="3">
        <f t="shared" si="18"/>
        <v>0</v>
      </c>
      <c r="L528" s="3">
        <f>IFERROR(INDEX('CHIRP Payment Calc'!K:K,MATCH(A:A,'CHIRP Payment Calc'!A:A,0)),0)</f>
        <v>0</v>
      </c>
      <c r="M528" s="3">
        <f t="shared" si="19"/>
        <v>0</v>
      </c>
    </row>
    <row r="529" spans="1:13">
      <c r="A529" s="9" t="s">
        <v>929</v>
      </c>
      <c r="B529" s="9" t="s">
        <v>1365</v>
      </c>
      <c r="C529" s="9" t="s">
        <v>222</v>
      </c>
      <c r="D529" s="4" t="s">
        <v>930</v>
      </c>
      <c r="E529" s="14" t="s">
        <v>930</v>
      </c>
      <c r="F529" s="14" t="s">
        <v>931</v>
      </c>
      <c r="G529" s="14" t="s">
        <v>929</v>
      </c>
      <c r="H529" s="9" t="s">
        <v>1816</v>
      </c>
      <c r="I529" s="3">
        <v>1749175.1640318572</v>
      </c>
      <c r="J529" s="3">
        <v>476072.85106844828</v>
      </c>
      <c r="K529" s="3">
        <f t="shared" si="18"/>
        <v>2225248.0151003054</v>
      </c>
      <c r="L529" s="3">
        <f>IFERROR(INDEX('CHIRP Payment Calc'!K:K,MATCH(A:A,'CHIRP Payment Calc'!A:A,0)),0)</f>
        <v>3500629.4980464978</v>
      </c>
      <c r="M529" s="3">
        <f t="shared" si="19"/>
        <v>-1275381.4829461924</v>
      </c>
    </row>
    <row r="530" spans="1:13">
      <c r="A530" s="9" t="s">
        <v>143</v>
      </c>
      <c r="B530" s="9" t="s">
        <v>1365</v>
      </c>
      <c r="C530" s="9" t="s">
        <v>222</v>
      </c>
      <c r="D530" s="4" t="s">
        <v>144</v>
      </c>
      <c r="E530" s="14" t="s">
        <v>144</v>
      </c>
      <c r="F530" s="14" t="s">
        <v>145</v>
      </c>
      <c r="G530" s="14" t="s">
        <v>143</v>
      </c>
      <c r="H530" s="9" t="s">
        <v>1815</v>
      </c>
      <c r="I530" s="3">
        <v>1656160.464769335</v>
      </c>
      <c r="J530" s="3">
        <v>291372.97792092885</v>
      </c>
      <c r="K530" s="3">
        <f t="shared" si="18"/>
        <v>1947533.442690264</v>
      </c>
      <c r="L530" s="3">
        <f>IFERROR(INDEX('CHIRP Payment Calc'!K:K,MATCH(A:A,'CHIRP Payment Calc'!A:A,0)),0)</f>
        <v>3238074.288751333</v>
      </c>
      <c r="M530" s="3">
        <f t="shared" si="19"/>
        <v>-1290540.8460610691</v>
      </c>
    </row>
    <row r="531" spans="1:13">
      <c r="A531" s="9" t="s">
        <v>207</v>
      </c>
      <c r="B531" s="9" t="s">
        <v>1365</v>
      </c>
      <c r="C531" s="9" t="s">
        <v>222</v>
      </c>
      <c r="D531" s="4" t="s">
        <v>208</v>
      </c>
      <c r="E531" s="14" t="s">
        <v>208</v>
      </c>
      <c r="F531" s="14" t="s">
        <v>209</v>
      </c>
      <c r="G531" s="14" t="s">
        <v>207</v>
      </c>
      <c r="H531" s="9" t="s">
        <v>1814</v>
      </c>
      <c r="I531" s="3">
        <v>0</v>
      </c>
      <c r="J531" s="3">
        <v>0</v>
      </c>
      <c r="K531" s="3">
        <f t="shared" si="18"/>
        <v>0</v>
      </c>
      <c r="L531" s="3">
        <f>IFERROR(INDEX('CHIRP Payment Calc'!K:K,MATCH(A:A,'CHIRP Payment Calc'!A:A,0)),0)</f>
        <v>0</v>
      </c>
      <c r="M531" s="3">
        <f t="shared" si="19"/>
        <v>0</v>
      </c>
    </row>
    <row r="532" spans="1:13">
      <c r="A532" s="9" t="s">
        <v>28</v>
      </c>
      <c r="B532" s="9" t="s">
        <v>1365</v>
      </c>
      <c r="C532" s="9" t="s">
        <v>222</v>
      </c>
      <c r="D532" s="4" t="s">
        <v>29</v>
      </c>
      <c r="E532" s="14" t="s">
        <v>29</v>
      </c>
      <c r="F532" s="14" t="s">
        <v>30</v>
      </c>
      <c r="G532" s="14" t="s">
        <v>28</v>
      </c>
      <c r="H532" s="9" t="s">
        <v>1813</v>
      </c>
      <c r="I532" s="3">
        <v>115763.63583012542</v>
      </c>
      <c r="J532" s="3">
        <v>0</v>
      </c>
      <c r="K532" s="3">
        <f t="shared" si="18"/>
        <v>115763.63583012542</v>
      </c>
      <c r="L532" s="3">
        <f>IFERROR(INDEX('CHIRP Payment Calc'!K:K,MATCH(A:A,'CHIRP Payment Calc'!A:A,0)),0)</f>
        <v>0</v>
      </c>
      <c r="M532" s="3">
        <f t="shared" si="19"/>
        <v>115763.63583012542</v>
      </c>
    </row>
    <row r="533" spans="1:13">
      <c r="A533" s="9" t="e">
        <v>#N/A</v>
      </c>
      <c r="B533" s="9" t="s">
        <v>1365</v>
      </c>
      <c r="C533" s="9" t="s">
        <v>222</v>
      </c>
      <c r="D533" s="4" t="s">
        <v>1812</v>
      </c>
      <c r="E533" s="14" t="e">
        <v>#N/A</v>
      </c>
      <c r="F533" s="14" t="e">
        <v>#N/A</v>
      </c>
      <c r="G533" s="14" t="e">
        <v>#N/A</v>
      </c>
      <c r="H533" s="9" t="s">
        <v>1811</v>
      </c>
      <c r="I533" s="3">
        <v>0</v>
      </c>
      <c r="J533" s="3">
        <v>0</v>
      </c>
      <c r="K533" s="3">
        <f t="shared" si="18"/>
        <v>0</v>
      </c>
      <c r="L533" s="3">
        <f>IFERROR(INDEX('CHIRP Payment Calc'!K:K,MATCH(A:A,'CHIRP Payment Calc'!A:A,0)),0)</f>
        <v>0</v>
      </c>
      <c r="M533" s="3">
        <f t="shared" si="19"/>
        <v>0</v>
      </c>
    </row>
    <row r="534" spans="1:13">
      <c r="A534" s="9" t="s">
        <v>456</v>
      </c>
      <c r="B534" s="9" t="s">
        <v>1365</v>
      </c>
      <c r="C534" s="9" t="s">
        <v>222</v>
      </c>
      <c r="D534" s="4" t="s">
        <v>457</v>
      </c>
      <c r="E534" s="14" t="s">
        <v>457</v>
      </c>
      <c r="F534" s="14" t="s">
        <v>458</v>
      </c>
      <c r="G534" s="14" t="s">
        <v>456</v>
      </c>
      <c r="H534" s="9" t="s">
        <v>1747</v>
      </c>
      <c r="I534" s="3">
        <v>0</v>
      </c>
      <c r="J534" s="3">
        <v>0</v>
      </c>
      <c r="K534" s="3">
        <f t="shared" si="18"/>
        <v>0</v>
      </c>
      <c r="L534" s="3">
        <f>IFERROR(INDEX('CHIRP Payment Calc'!K:K,MATCH(A:A,'CHIRP Payment Calc'!A:A,0)),0)</f>
        <v>0</v>
      </c>
      <c r="M534" s="3">
        <f t="shared" si="19"/>
        <v>0</v>
      </c>
    </row>
    <row r="535" spans="1:13">
      <c r="A535" s="9" t="s">
        <v>780</v>
      </c>
      <c r="B535" s="9" t="s">
        <v>1365</v>
      </c>
      <c r="C535" s="9" t="s">
        <v>1479</v>
      </c>
      <c r="D535" s="4" t="s">
        <v>781</v>
      </c>
      <c r="E535" s="14" t="s">
        <v>781</v>
      </c>
      <c r="F535" s="14" t="s">
        <v>782</v>
      </c>
      <c r="G535" s="14" t="s">
        <v>780</v>
      </c>
      <c r="H535" s="9" t="s">
        <v>1673</v>
      </c>
      <c r="I535" s="3">
        <v>2320743.0215383782</v>
      </c>
      <c r="J535" s="3">
        <v>1557536.4572858256</v>
      </c>
      <c r="K535" s="3">
        <f t="shared" si="18"/>
        <v>3878279.4788242038</v>
      </c>
      <c r="L535" s="3">
        <f>IFERROR(INDEX('CHIRP Payment Calc'!K:K,MATCH(A:A,'CHIRP Payment Calc'!A:A,0)),0)</f>
        <v>5883997.2290608082</v>
      </c>
      <c r="M535" s="3">
        <f t="shared" si="19"/>
        <v>-2005717.7502366044</v>
      </c>
    </row>
    <row r="536" spans="1:13">
      <c r="A536" s="9" t="e">
        <v>#N/A</v>
      </c>
      <c r="B536" s="9" t="s">
        <v>1365</v>
      </c>
      <c r="C536" s="9" t="s">
        <v>1545</v>
      </c>
      <c r="D536" s="4" t="s">
        <v>1810</v>
      </c>
      <c r="E536" s="14" t="e">
        <v>#N/A</v>
      </c>
      <c r="F536" s="14" t="e">
        <v>#N/A</v>
      </c>
      <c r="G536" s="14" t="e">
        <v>#N/A</v>
      </c>
      <c r="H536" s="9" t="s">
        <v>1809</v>
      </c>
      <c r="I536" s="3">
        <v>0</v>
      </c>
      <c r="J536" s="3">
        <v>0</v>
      </c>
      <c r="K536" s="3">
        <f t="shared" si="18"/>
        <v>0</v>
      </c>
      <c r="L536" s="3">
        <f>IFERROR(INDEX('CHIRP Payment Calc'!K:K,MATCH(A:A,'CHIRP Payment Calc'!A:A,0)),0)</f>
        <v>0</v>
      </c>
      <c r="M536" s="3">
        <f t="shared" si="19"/>
        <v>0</v>
      </c>
    </row>
    <row r="537" spans="1:13">
      <c r="A537" s="9" t="s">
        <v>1078</v>
      </c>
      <c r="B537" s="9" t="s">
        <v>1365</v>
      </c>
      <c r="C537" s="9" t="s">
        <v>1545</v>
      </c>
      <c r="D537" s="4" t="s">
        <v>1079</v>
      </c>
      <c r="E537" s="14" t="s">
        <v>1079</v>
      </c>
      <c r="F537" s="14" t="s">
        <v>688</v>
      </c>
      <c r="G537" s="14" t="s">
        <v>1078</v>
      </c>
      <c r="H537" s="9" t="s">
        <v>1808</v>
      </c>
      <c r="I537" s="3">
        <v>3255546.4834144278</v>
      </c>
      <c r="J537" s="3">
        <v>2996347.4560434143</v>
      </c>
      <c r="K537" s="3">
        <f t="shared" si="18"/>
        <v>6251893.9394578421</v>
      </c>
      <c r="L537" s="3">
        <f>IFERROR(INDEX('CHIRP Payment Calc'!K:K,MATCH(A:A,'CHIRP Payment Calc'!A:A,0)),0)</f>
        <v>9460458.1333666146</v>
      </c>
      <c r="M537" s="3">
        <f t="shared" si="19"/>
        <v>-3208564.1939087724</v>
      </c>
    </row>
    <row r="538" spans="1:13">
      <c r="A538" s="9" t="s">
        <v>686</v>
      </c>
      <c r="B538" s="9" t="s">
        <v>1365</v>
      </c>
      <c r="C538" s="9" t="s">
        <v>1545</v>
      </c>
      <c r="D538" s="4" t="s">
        <v>687</v>
      </c>
      <c r="E538" s="14" t="s">
        <v>687</v>
      </c>
      <c r="F538" s="14" t="s">
        <v>688</v>
      </c>
      <c r="G538" s="14" t="s">
        <v>686</v>
      </c>
      <c r="H538" s="9" t="s">
        <v>1808</v>
      </c>
      <c r="I538" s="3">
        <v>30855.25899366448</v>
      </c>
      <c r="J538" s="3">
        <v>5794.0707089625084</v>
      </c>
      <c r="K538" s="3">
        <f t="shared" si="18"/>
        <v>36649.329702626987</v>
      </c>
      <c r="L538" s="3">
        <f>IFERROR(INDEX('CHIRP Payment Calc'!K:K,MATCH(A:A,'CHIRP Payment Calc'!A:A,0)),0)</f>
        <v>0</v>
      </c>
      <c r="M538" s="3">
        <f t="shared" si="19"/>
        <v>36649.329702626987</v>
      </c>
    </row>
    <row r="539" spans="1:13">
      <c r="A539" s="9" t="s">
        <v>917</v>
      </c>
      <c r="B539" s="9" t="s">
        <v>1365</v>
      </c>
      <c r="C539" s="9" t="s">
        <v>1554</v>
      </c>
      <c r="D539" s="4" t="s">
        <v>918</v>
      </c>
      <c r="E539" s="14" t="s">
        <v>918</v>
      </c>
      <c r="F539" s="14" t="s">
        <v>919</v>
      </c>
      <c r="G539" s="14" t="s">
        <v>917</v>
      </c>
      <c r="H539" s="9" t="s">
        <v>1807</v>
      </c>
      <c r="I539" s="3">
        <v>20138276.558540389</v>
      </c>
      <c r="J539" s="3">
        <v>22250804.680319209</v>
      </c>
      <c r="K539" s="3">
        <f t="shared" si="18"/>
        <v>42389081.238859594</v>
      </c>
      <c r="L539" s="3">
        <f>IFERROR(INDEX('CHIRP Payment Calc'!K:K,MATCH(A:A,'CHIRP Payment Calc'!A:A,0)),0)</f>
        <v>59748532.86741282</v>
      </c>
      <c r="M539" s="3">
        <f t="shared" si="19"/>
        <v>-17359451.628553227</v>
      </c>
    </row>
    <row r="540" spans="1:13">
      <c r="A540" s="9" t="s">
        <v>392</v>
      </c>
      <c r="C540" s="9" t="s">
        <v>1594</v>
      </c>
      <c r="D540" s="4" t="s">
        <v>393</v>
      </c>
      <c r="E540" s="14" t="s">
        <v>393</v>
      </c>
      <c r="F540" s="14" t="s">
        <v>394</v>
      </c>
      <c r="G540" s="14" t="s">
        <v>392</v>
      </c>
      <c r="H540" s="9" t="s">
        <v>1806</v>
      </c>
      <c r="I540" s="3">
        <v>65027454.904037446</v>
      </c>
      <c r="J540" s="3">
        <v>730854.56117207848</v>
      </c>
      <c r="K540" s="3">
        <f t="shared" si="18"/>
        <v>65758309.465209521</v>
      </c>
      <c r="L540" s="3">
        <f>IFERROR(INDEX('CHIRP Payment Calc'!K:K,MATCH(A:A,'CHIRP Payment Calc'!A:A,0)),0)</f>
        <v>82568454.999106735</v>
      </c>
      <c r="M540" s="3">
        <f t="shared" si="19"/>
        <v>-16810145.533897214</v>
      </c>
    </row>
    <row r="541" spans="1:13">
      <c r="A541" s="9" t="s">
        <v>1199</v>
      </c>
      <c r="C541" s="9" t="s">
        <v>1796</v>
      </c>
      <c r="D541" s="4" t="s">
        <v>1200</v>
      </c>
      <c r="E541" s="14" t="s">
        <v>1200</v>
      </c>
      <c r="F541" s="14" t="s">
        <v>1201</v>
      </c>
      <c r="G541" s="14" t="s">
        <v>1199</v>
      </c>
      <c r="H541" s="9" t="s">
        <v>1805</v>
      </c>
      <c r="I541" s="3">
        <v>0</v>
      </c>
      <c r="J541" s="3">
        <v>0</v>
      </c>
      <c r="K541" s="3">
        <f t="shared" si="18"/>
        <v>0</v>
      </c>
      <c r="L541" s="3">
        <f>IFERROR(INDEX('CHIRP Payment Calc'!K:K,MATCH(A:A,'CHIRP Payment Calc'!A:A,0)),0)</f>
        <v>0</v>
      </c>
      <c r="M541" s="3">
        <f t="shared" si="19"/>
        <v>0</v>
      </c>
    </row>
    <row r="542" spans="1:13">
      <c r="A542" s="9" t="s">
        <v>1212</v>
      </c>
      <c r="C542" s="9" t="s">
        <v>1796</v>
      </c>
      <c r="D542" s="4" t="s">
        <v>1213</v>
      </c>
      <c r="E542" s="14" t="s">
        <v>1213</v>
      </c>
      <c r="F542" s="14" t="s">
        <v>1214</v>
      </c>
      <c r="G542" s="14" t="s">
        <v>1212</v>
      </c>
      <c r="H542" s="9" t="s">
        <v>1804</v>
      </c>
      <c r="I542" s="3">
        <v>817353.87719957333</v>
      </c>
      <c r="J542" s="3">
        <v>0</v>
      </c>
      <c r="K542" s="3">
        <f t="shared" si="18"/>
        <v>817353.87719957333</v>
      </c>
      <c r="L542" s="3">
        <f>IFERROR(INDEX('CHIRP Payment Calc'!K:K,MATCH(A:A,'CHIRP Payment Calc'!A:A,0)),0)</f>
        <v>1353451.2219585024</v>
      </c>
      <c r="M542" s="3">
        <f t="shared" si="19"/>
        <v>-536097.3447589291</v>
      </c>
    </row>
    <row r="543" spans="1:13">
      <c r="A543" s="9" t="s">
        <v>1327</v>
      </c>
      <c r="C543" s="9" t="s">
        <v>1796</v>
      </c>
      <c r="D543" s="4" t="s">
        <v>1328</v>
      </c>
      <c r="E543" s="14" t="s">
        <v>1328</v>
      </c>
      <c r="F543" s="14" t="s">
        <v>1329</v>
      </c>
      <c r="G543" s="14" t="s">
        <v>1327</v>
      </c>
      <c r="H543" s="9" t="s">
        <v>1803</v>
      </c>
      <c r="I543" s="3">
        <v>3394.6981970891288</v>
      </c>
      <c r="J543" s="3">
        <v>0</v>
      </c>
      <c r="K543" s="3">
        <f t="shared" si="18"/>
        <v>3394.6981970891288</v>
      </c>
      <c r="L543" s="3">
        <f>IFERROR(INDEX('CHIRP Payment Calc'!K:K,MATCH(A:A,'CHIRP Payment Calc'!A:A,0)),0)</f>
        <v>0</v>
      </c>
      <c r="M543" s="3">
        <f t="shared" si="19"/>
        <v>3394.6981970891288</v>
      </c>
    </row>
    <row r="544" spans="1:13">
      <c r="A544" s="9" t="s">
        <v>1303</v>
      </c>
      <c r="C544" s="9" t="s">
        <v>1796</v>
      </c>
      <c r="D544" s="4" t="s">
        <v>1304</v>
      </c>
      <c r="E544" s="14" t="s">
        <v>1304</v>
      </c>
      <c r="F544" s="14" t="s">
        <v>1305</v>
      </c>
      <c r="G544" s="14" t="s">
        <v>1303</v>
      </c>
      <c r="H544" s="9" t="s">
        <v>1802</v>
      </c>
      <c r="I544" s="3">
        <v>81422.723974489854</v>
      </c>
      <c r="J544" s="3">
        <v>0</v>
      </c>
      <c r="K544" s="3">
        <f t="shared" si="18"/>
        <v>81422.723974489854</v>
      </c>
      <c r="L544" s="3">
        <f>IFERROR(INDEX('CHIRP Payment Calc'!K:K,MATCH(A:A,'CHIRP Payment Calc'!A:A,0)),0)</f>
        <v>85735.620925097857</v>
      </c>
      <c r="M544" s="3">
        <f t="shared" si="19"/>
        <v>-4312.896950608003</v>
      </c>
    </row>
    <row r="545" spans="1:13">
      <c r="A545" s="9" t="s">
        <v>1244</v>
      </c>
      <c r="C545" s="9" t="s">
        <v>1796</v>
      </c>
      <c r="D545" s="4" t="s">
        <v>1245</v>
      </c>
      <c r="E545" s="14" t="s">
        <v>1245</v>
      </c>
      <c r="F545" s="14" t="s">
        <v>1246</v>
      </c>
      <c r="G545" s="14" t="s">
        <v>1244</v>
      </c>
      <c r="H545" s="9" t="s">
        <v>1801</v>
      </c>
      <c r="I545" s="3">
        <v>903440.69420253276</v>
      </c>
      <c r="J545" s="3">
        <v>0</v>
      </c>
      <c r="K545" s="3">
        <f t="shared" si="18"/>
        <v>903440.69420253276</v>
      </c>
      <c r="L545" s="3">
        <f>IFERROR(INDEX('CHIRP Payment Calc'!K:K,MATCH(A:A,'CHIRP Payment Calc'!A:A,0)),0)</f>
        <v>1441974.3611301454</v>
      </c>
      <c r="M545" s="3">
        <f t="shared" si="19"/>
        <v>-538533.66692761262</v>
      </c>
    </row>
    <row r="546" spans="1:13">
      <c r="A546" s="9" t="s">
        <v>1649</v>
      </c>
      <c r="B546" s="9" t="s">
        <v>487</v>
      </c>
      <c r="C546" s="9" t="s">
        <v>222</v>
      </c>
      <c r="D546" s="4" t="s">
        <v>1650</v>
      </c>
      <c r="E546" s="14" t="s">
        <v>1650</v>
      </c>
      <c r="F546" s="14" t="e">
        <v>#N/A</v>
      </c>
      <c r="G546" s="14" t="s">
        <v>1649</v>
      </c>
      <c r="H546" s="9" t="s">
        <v>1648</v>
      </c>
      <c r="I546" s="3">
        <v>123389.88784197367</v>
      </c>
      <c r="J546" s="3">
        <v>1521974.6333284958</v>
      </c>
      <c r="K546" s="3">
        <f t="shared" si="18"/>
        <v>1645364.5211704695</v>
      </c>
      <c r="L546" s="3">
        <f>IFERROR(INDEX('CHIRP Payment Calc'!K:K,MATCH(A:A,'CHIRP Payment Calc'!A:A,0)),0)</f>
        <v>0</v>
      </c>
      <c r="M546" s="3">
        <f t="shared" si="19"/>
        <v>1645364.5211704695</v>
      </c>
    </row>
    <row r="547" spans="1:13">
      <c r="A547" s="9" t="s">
        <v>1309</v>
      </c>
      <c r="C547" s="9" t="s">
        <v>1796</v>
      </c>
      <c r="D547" s="4" t="s">
        <v>1310</v>
      </c>
      <c r="E547" s="14" t="s">
        <v>1310</v>
      </c>
      <c r="F547" s="14" t="s">
        <v>1311</v>
      </c>
      <c r="G547" s="14" t="s">
        <v>1309</v>
      </c>
      <c r="H547" s="9" t="s">
        <v>1798</v>
      </c>
      <c r="I547" s="3">
        <v>31028.228232847614</v>
      </c>
      <c r="J547" s="3">
        <v>0</v>
      </c>
      <c r="K547" s="3">
        <f t="shared" si="18"/>
        <v>31028.228232847614</v>
      </c>
      <c r="L547" s="3">
        <f>IFERROR(INDEX('CHIRP Payment Calc'!K:K,MATCH(A:A,'CHIRP Payment Calc'!A:A,0)),0)</f>
        <v>74958.308248659916</v>
      </c>
      <c r="M547" s="3">
        <f t="shared" si="19"/>
        <v>-43930.080015812302</v>
      </c>
    </row>
    <row r="548" spans="1:13">
      <c r="A548" s="9" t="s">
        <v>1342</v>
      </c>
      <c r="C548" s="9" t="s">
        <v>1796</v>
      </c>
      <c r="D548" s="4" t="s">
        <v>1343</v>
      </c>
      <c r="E548" s="14" t="s">
        <v>1343</v>
      </c>
      <c r="F548" s="14" t="s">
        <v>1344</v>
      </c>
      <c r="G548" s="14" t="s">
        <v>1342</v>
      </c>
      <c r="H548" s="9" t="s">
        <v>1797</v>
      </c>
      <c r="I548" s="3">
        <v>2044717.9495899789</v>
      </c>
      <c r="J548" s="3">
        <v>0</v>
      </c>
      <c r="K548" s="3">
        <f t="shared" si="18"/>
        <v>2044717.9495899789</v>
      </c>
      <c r="L548" s="3">
        <f>IFERROR(INDEX('CHIRP Payment Calc'!K:K,MATCH(A:A,'CHIRP Payment Calc'!A:A,0)),0)</f>
        <v>2073220.8295724646</v>
      </c>
      <c r="M548" s="3">
        <f t="shared" si="19"/>
        <v>-28502.879982485669</v>
      </c>
    </row>
    <row r="549" spans="1:13">
      <c r="A549" s="9" t="s">
        <v>1262</v>
      </c>
      <c r="C549" s="9" t="s">
        <v>1796</v>
      </c>
      <c r="D549" s="4" t="s">
        <v>1263</v>
      </c>
      <c r="E549" s="14" t="s">
        <v>1263</v>
      </c>
      <c r="F549" s="14" t="s">
        <v>1264</v>
      </c>
      <c r="G549" s="14" t="s">
        <v>1262</v>
      </c>
      <c r="H549" s="9" t="s">
        <v>1795</v>
      </c>
      <c r="I549" s="3">
        <v>25111.565086278017</v>
      </c>
      <c r="J549" s="3">
        <v>0</v>
      </c>
      <c r="K549" s="3">
        <f t="shared" si="18"/>
        <v>25111.565086278017</v>
      </c>
      <c r="L549" s="3">
        <f>IFERROR(INDEX('CHIRP Payment Calc'!K:K,MATCH(A:A,'CHIRP Payment Calc'!A:A,0)),0)</f>
        <v>54696.249389048069</v>
      </c>
      <c r="M549" s="3">
        <f t="shared" si="19"/>
        <v>-29584.684302770052</v>
      </c>
    </row>
    <row r="550" spans="1:13">
      <c r="A550" s="9" t="s">
        <v>1131</v>
      </c>
      <c r="C550" s="9" t="s">
        <v>222</v>
      </c>
      <c r="D550" s="4" t="s">
        <v>1132</v>
      </c>
      <c r="E550" s="14" t="s">
        <v>1132</v>
      </c>
      <c r="F550" s="14" t="s">
        <v>1133</v>
      </c>
      <c r="G550" s="14" t="s">
        <v>1131</v>
      </c>
      <c r="H550" s="9" t="s">
        <v>1794</v>
      </c>
      <c r="I550" s="3">
        <v>2618.5116247494771</v>
      </c>
      <c r="J550" s="3">
        <v>0</v>
      </c>
      <c r="K550" s="3">
        <f t="shared" si="18"/>
        <v>2618.5116247494771</v>
      </c>
      <c r="L550" s="3">
        <f>IFERROR(INDEX('CHIRP Payment Calc'!K:K,MATCH(A:A,'CHIRP Payment Calc'!A:A,0)),0)</f>
        <v>0</v>
      </c>
      <c r="M550" s="3">
        <f t="shared" si="19"/>
        <v>2618.5116247494771</v>
      </c>
    </row>
    <row r="551" spans="1:13">
      <c r="A551" s="9" t="s">
        <v>386</v>
      </c>
      <c r="C551" s="9" t="s">
        <v>222</v>
      </c>
      <c r="D551" s="4" t="s">
        <v>387</v>
      </c>
      <c r="E551" s="14" t="s">
        <v>387</v>
      </c>
      <c r="F551" s="14" t="s">
        <v>388</v>
      </c>
      <c r="G551" s="14" t="s">
        <v>386</v>
      </c>
      <c r="H551" s="9" t="s">
        <v>1793</v>
      </c>
      <c r="I551" s="3">
        <v>2785509.3798224032</v>
      </c>
      <c r="J551" s="3">
        <v>1145325.2619698292</v>
      </c>
      <c r="K551" s="3">
        <f t="shared" si="18"/>
        <v>3930834.6417922322</v>
      </c>
      <c r="L551" s="3">
        <f>IFERROR(INDEX('CHIRP Payment Calc'!K:K,MATCH(A:A,'CHIRP Payment Calc'!A:A,0)),0)</f>
        <v>5660496.7555637434</v>
      </c>
      <c r="M551" s="3">
        <f t="shared" si="19"/>
        <v>-1729662.1137715112</v>
      </c>
    </row>
    <row r="552" spans="1:13">
      <c r="A552" s="9" t="s">
        <v>1728</v>
      </c>
      <c r="C552" s="9" t="s">
        <v>222</v>
      </c>
      <c r="D552" s="4" t="s">
        <v>1727</v>
      </c>
      <c r="E552" s="14" t="s">
        <v>1727</v>
      </c>
      <c r="F552" s="14" t="e">
        <v>#N/A</v>
      </c>
      <c r="G552" s="14" t="s">
        <v>1728</v>
      </c>
      <c r="H552" s="9" t="s">
        <v>1792</v>
      </c>
      <c r="I552" s="3">
        <v>0</v>
      </c>
      <c r="J552" s="3">
        <v>0</v>
      </c>
      <c r="K552" s="3">
        <f t="shared" si="18"/>
        <v>0</v>
      </c>
      <c r="L552" s="3">
        <f>IFERROR(INDEX('CHIRP Payment Calc'!K:K,MATCH(A:A,'CHIRP Payment Calc'!A:A,0)),0)</f>
        <v>0</v>
      </c>
      <c r="M552" s="3">
        <f t="shared" si="19"/>
        <v>0</v>
      </c>
    </row>
    <row r="553" spans="1:13">
      <c r="A553" s="9" t="s">
        <v>1621</v>
      </c>
      <c r="C553" s="9" t="s">
        <v>222</v>
      </c>
      <c r="D553" s="4" t="s">
        <v>1622</v>
      </c>
      <c r="E553" s="14" t="s">
        <v>1622</v>
      </c>
      <c r="F553" s="14" t="s">
        <v>1763</v>
      </c>
      <c r="G553" s="14" t="s">
        <v>1621</v>
      </c>
      <c r="H553" s="9" t="s">
        <v>1763</v>
      </c>
      <c r="I553" s="3">
        <v>222649.78663678007</v>
      </c>
      <c r="J553" s="3">
        <v>173178.57560394178</v>
      </c>
      <c r="K553" s="3">
        <f t="shared" si="18"/>
        <v>395828.36224072182</v>
      </c>
      <c r="L553" s="3">
        <f>IFERROR(INDEX('CHIRP Payment Calc'!K:K,MATCH(A:A,'CHIRP Payment Calc'!A:A,0)),0)</f>
        <v>649597.58697927801</v>
      </c>
      <c r="M553" s="3">
        <f t="shared" si="19"/>
        <v>-253769.22473855619</v>
      </c>
    </row>
    <row r="554" spans="1:13">
      <c r="A554" s="9" t="s">
        <v>1028</v>
      </c>
      <c r="C554" s="9" t="s">
        <v>222</v>
      </c>
      <c r="D554" s="4" t="s">
        <v>1029</v>
      </c>
      <c r="E554" s="14" t="s">
        <v>1029</v>
      </c>
      <c r="F554" s="14" t="s">
        <v>1030</v>
      </c>
      <c r="G554" s="14" t="s">
        <v>1028</v>
      </c>
      <c r="H554" s="9" t="s">
        <v>1791</v>
      </c>
      <c r="I554" s="3">
        <v>16932358.270591531</v>
      </c>
      <c r="J554" s="3">
        <v>4334778.085447778</v>
      </c>
      <c r="K554" s="3">
        <f t="shared" si="18"/>
        <v>21267136.356039308</v>
      </c>
      <c r="L554" s="3">
        <f>IFERROR(INDEX('CHIRP Payment Calc'!K:K,MATCH(A:A,'CHIRP Payment Calc'!A:A,0)),0)</f>
        <v>21828430.493798133</v>
      </c>
      <c r="M554" s="3">
        <f t="shared" si="19"/>
        <v>-561294.13775882497</v>
      </c>
    </row>
    <row r="555" spans="1:13">
      <c r="A555" s="9" t="s">
        <v>1384</v>
      </c>
      <c r="C555" s="9" t="s">
        <v>222</v>
      </c>
      <c r="D555" s="4" t="s">
        <v>1790</v>
      </c>
      <c r="E555" s="14" t="s">
        <v>1790</v>
      </c>
      <c r="F555" s="14" t="s">
        <v>1385</v>
      </c>
      <c r="G555" s="14" t="s">
        <v>1569</v>
      </c>
      <c r="H555" s="9" t="s">
        <v>1789</v>
      </c>
      <c r="I555" s="3">
        <v>0</v>
      </c>
      <c r="J555" s="3">
        <v>0</v>
      </c>
      <c r="K555" s="3">
        <f t="shared" si="18"/>
        <v>0</v>
      </c>
      <c r="L555" s="3">
        <f>IFERROR(INDEX('CHIRP Payment Calc'!K:K,MATCH(A:A,'CHIRP Payment Calc'!A:A,0)),0)</f>
        <v>0</v>
      </c>
      <c r="M555" s="3">
        <f t="shared" si="19"/>
        <v>0</v>
      </c>
    </row>
    <row r="556" spans="1:13">
      <c r="A556" s="9" t="s">
        <v>22</v>
      </c>
      <c r="C556" s="9" t="s">
        <v>222</v>
      </c>
      <c r="D556" s="4" t="s">
        <v>23</v>
      </c>
      <c r="E556" s="14" t="s">
        <v>23</v>
      </c>
      <c r="F556" s="14" t="s">
        <v>24</v>
      </c>
      <c r="G556" s="14" t="s">
        <v>22</v>
      </c>
      <c r="H556" s="9" t="s">
        <v>1788</v>
      </c>
      <c r="I556" s="3">
        <v>15743.742991872781</v>
      </c>
      <c r="J556" s="3">
        <v>4056.5494736692417</v>
      </c>
      <c r="K556" s="3">
        <f t="shared" si="18"/>
        <v>19800.292465542021</v>
      </c>
      <c r="L556" s="3">
        <f>IFERROR(INDEX('CHIRP Payment Calc'!K:K,MATCH(A:A,'CHIRP Payment Calc'!A:A,0)),0)</f>
        <v>0</v>
      </c>
      <c r="M556" s="3">
        <f t="shared" si="19"/>
        <v>19800.292465542021</v>
      </c>
    </row>
    <row r="557" spans="1:13">
      <c r="A557" s="9" t="s">
        <v>1447</v>
      </c>
      <c r="C557" s="9" t="s">
        <v>222</v>
      </c>
      <c r="D557" s="4" t="s">
        <v>1448</v>
      </c>
      <c r="E557" s="14" t="s">
        <v>1448</v>
      </c>
      <c r="F557" s="14" t="s">
        <v>1449</v>
      </c>
      <c r="G557" s="14" t="s">
        <v>1447</v>
      </c>
      <c r="H557" s="9" t="s">
        <v>1677</v>
      </c>
      <c r="I557" s="3">
        <v>28766.56136446739</v>
      </c>
      <c r="J557" s="3">
        <v>162275.1662102626</v>
      </c>
      <c r="K557" s="3">
        <f t="shared" si="18"/>
        <v>191041.72757473</v>
      </c>
      <c r="L557" s="3">
        <f>IFERROR(INDEX('CHIRP Payment Calc'!K:K,MATCH(A:A,'CHIRP Payment Calc'!A:A,0)),0)</f>
        <v>387703.4178423112</v>
      </c>
      <c r="M557" s="3">
        <f t="shared" si="19"/>
        <v>-196661.6902675812</v>
      </c>
    </row>
    <row r="558" spans="1:13">
      <c r="A558" s="9" t="s">
        <v>1004</v>
      </c>
      <c r="C558" s="9" t="s">
        <v>222</v>
      </c>
      <c r="D558" s="4" t="s">
        <v>1005</v>
      </c>
      <c r="E558" s="14" t="s">
        <v>1005</v>
      </c>
      <c r="F558" s="14" t="s">
        <v>1006</v>
      </c>
      <c r="G558" s="14" t="s">
        <v>1004</v>
      </c>
      <c r="H558" s="9" t="s">
        <v>1787</v>
      </c>
      <c r="I558" s="3">
        <v>1331055.6187002929</v>
      </c>
      <c r="J558" s="3">
        <v>2206060.5999399284</v>
      </c>
      <c r="K558" s="3">
        <f t="shared" si="18"/>
        <v>3537116.2186402213</v>
      </c>
      <c r="L558" s="3">
        <f>IFERROR(INDEX('CHIRP Payment Calc'!K:K,MATCH(A:A,'CHIRP Payment Calc'!A:A,0)),0)</f>
        <v>4306086.1268281098</v>
      </c>
      <c r="M558" s="3">
        <f t="shared" si="19"/>
        <v>-768969.90818788856</v>
      </c>
    </row>
    <row r="559" spans="1:13">
      <c r="A559" s="9" t="s">
        <v>756</v>
      </c>
      <c r="B559" s="9" t="s">
        <v>1486</v>
      </c>
      <c r="C559" s="9" t="s">
        <v>222</v>
      </c>
      <c r="D559" s="4" t="s">
        <v>757</v>
      </c>
      <c r="E559" s="14" t="s">
        <v>757</v>
      </c>
      <c r="F559" s="14" t="s">
        <v>758</v>
      </c>
      <c r="G559" s="14" t="s">
        <v>756</v>
      </c>
      <c r="H559" s="9" t="s">
        <v>1993</v>
      </c>
      <c r="I559" s="3">
        <v>9607063.7296157386</v>
      </c>
      <c r="J559" s="3">
        <f>4880323.28627934+50758.6622542907</f>
        <v>4931081.9485336309</v>
      </c>
      <c r="K559" s="3">
        <f t="shared" si="18"/>
        <v>14538145.678149369</v>
      </c>
      <c r="L559" s="3">
        <f>IFERROR(INDEX('CHIRP Payment Calc'!K:K,MATCH(A:A,'CHIRP Payment Calc'!A:A,0)),0)</f>
        <v>20743938.948229507</v>
      </c>
      <c r="M559" s="3">
        <f t="shared" si="19"/>
        <v>-6205793.270080138</v>
      </c>
    </row>
    <row r="560" spans="1:13">
      <c r="A560" s="4" t="s">
        <v>1268</v>
      </c>
      <c r="B560" s="15" t="s">
        <v>1526</v>
      </c>
      <c r="C560" s="15" t="s">
        <v>1796</v>
      </c>
      <c r="D560" s="4" t="s">
        <v>1269</v>
      </c>
      <c r="E560" s="14" t="s">
        <v>1269</v>
      </c>
      <c r="F560" s="14" t="e">
        <v>#N/A</v>
      </c>
      <c r="G560" s="14" t="s">
        <v>1269</v>
      </c>
      <c r="H560" s="9" t="s">
        <v>2023</v>
      </c>
      <c r="I560" s="3">
        <v>375884.01350041141</v>
      </c>
      <c r="J560" s="3">
        <v>0</v>
      </c>
      <c r="K560" s="3">
        <f t="shared" si="18"/>
        <v>375884.01350041141</v>
      </c>
      <c r="L560" s="3">
        <f>IFERROR(INDEX('CHIRP Payment Calc'!K:K,MATCH(A:A,'CHIRP Payment Calc'!A:A,0)),0)</f>
        <v>6112.2186771548195</v>
      </c>
      <c r="M560" s="3">
        <f t="shared" si="19"/>
        <v>369771.79482325661</v>
      </c>
    </row>
    <row r="561" spans="1:13">
      <c r="A561" s="9" t="s">
        <v>554</v>
      </c>
      <c r="C561" s="9" t="s">
        <v>222</v>
      </c>
      <c r="D561" s="4" t="s">
        <v>555</v>
      </c>
      <c r="E561" s="14" t="s">
        <v>555</v>
      </c>
      <c r="F561" s="14" t="s">
        <v>556</v>
      </c>
      <c r="G561" s="14" t="s">
        <v>554</v>
      </c>
      <c r="H561" s="9" t="s">
        <v>1712</v>
      </c>
      <c r="I561" s="3">
        <v>1676665.5899617579</v>
      </c>
      <c r="J561" s="3">
        <v>580567.06793624139</v>
      </c>
      <c r="K561" s="3">
        <f t="shared" si="18"/>
        <v>2257232.6578979995</v>
      </c>
      <c r="L561" s="3">
        <f>IFERROR(INDEX('CHIRP Payment Calc'!K:K,MATCH(A:A,'CHIRP Payment Calc'!A:A,0)),0)</f>
        <v>3655545.1241616826</v>
      </c>
      <c r="M561" s="3">
        <f t="shared" si="19"/>
        <v>-1398312.466263683</v>
      </c>
    </row>
    <row r="562" spans="1:13">
      <c r="A562" s="9" t="s">
        <v>1527</v>
      </c>
      <c r="C562" s="9" t="s">
        <v>222</v>
      </c>
      <c r="D562" s="4" t="s">
        <v>1528</v>
      </c>
      <c r="E562" s="14" t="e">
        <v>#N/A</v>
      </c>
      <c r="F562" s="14" t="e">
        <v>#N/A</v>
      </c>
      <c r="G562" s="14" t="e">
        <v>#N/A</v>
      </c>
      <c r="H562" s="9" t="s">
        <v>1786</v>
      </c>
      <c r="I562" s="3">
        <v>0</v>
      </c>
      <c r="J562" s="3">
        <v>0</v>
      </c>
      <c r="K562" s="3">
        <f t="shared" si="18"/>
        <v>0</v>
      </c>
      <c r="L562" s="3">
        <f>IFERROR(INDEX('CHIRP Payment Calc'!K:K,MATCH(A:A,'CHIRP Payment Calc'!A:A,0)),0)</f>
        <v>0</v>
      </c>
      <c r="M562" s="3">
        <f t="shared" si="19"/>
        <v>0</v>
      </c>
    </row>
    <row r="563" spans="1:13">
      <c r="A563" s="9" t="s">
        <v>1416</v>
      </c>
      <c r="C563" s="9" t="s">
        <v>222</v>
      </c>
      <c r="D563" s="4" t="s">
        <v>1417</v>
      </c>
      <c r="E563" s="14" t="s">
        <v>1417</v>
      </c>
      <c r="F563" s="14" t="s">
        <v>1418</v>
      </c>
      <c r="G563" s="14" t="s">
        <v>1416</v>
      </c>
      <c r="H563" s="9" t="s">
        <v>1785</v>
      </c>
      <c r="I563" s="3">
        <v>65513.582849327293</v>
      </c>
      <c r="J563" s="3">
        <v>99537.770837421791</v>
      </c>
      <c r="K563" s="3">
        <f t="shared" si="18"/>
        <v>165051.35368674909</v>
      </c>
      <c r="L563" s="3">
        <f>IFERROR(INDEX('CHIRP Payment Calc'!K:K,MATCH(A:A,'CHIRP Payment Calc'!A:A,0)),0)</f>
        <v>192233.67130937357</v>
      </c>
      <c r="M563" s="3">
        <f t="shared" si="19"/>
        <v>-27182.317622624483</v>
      </c>
    </row>
    <row r="564" spans="1:13">
      <c r="A564" s="9" t="s">
        <v>1783</v>
      </c>
      <c r="C564" s="9" t="s">
        <v>222</v>
      </c>
      <c r="D564" s="4" t="s">
        <v>1784</v>
      </c>
      <c r="E564" s="14" t="s">
        <v>1784</v>
      </c>
      <c r="F564" s="14" t="e">
        <v>#N/A</v>
      </c>
      <c r="G564" s="14" t="s">
        <v>1783</v>
      </c>
      <c r="H564" s="9" t="s">
        <v>1782</v>
      </c>
      <c r="I564" s="3">
        <v>0</v>
      </c>
      <c r="J564" s="3">
        <v>0</v>
      </c>
      <c r="K564" s="3">
        <f t="shared" si="18"/>
        <v>0</v>
      </c>
      <c r="L564" s="3">
        <f>IFERROR(INDEX('CHIRP Payment Calc'!K:K,MATCH(A:A,'CHIRP Payment Calc'!A:A,0)),0)</f>
        <v>0</v>
      </c>
      <c r="M564" s="3">
        <f t="shared" si="19"/>
        <v>0</v>
      </c>
    </row>
    <row r="565" spans="1:13">
      <c r="A565" s="9" t="s">
        <v>1034</v>
      </c>
      <c r="C565" s="9" t="s">
        <v>222</v>
      </c>
      <c r="D565" s="4" t="s">
        <v>1035</v>
      </c>
      <c r="E565" s="14" t="s">
        <v>1035</v>
      </c>
      <c r="F565" s="14" t="s">
        <v>1036</v>
      </c>
      <c r="G565" s="14" t="s">
        <v>1034</v>
      </c>
      <c r="H565" s="9" t="s">
        <v>1781</v>
      </c>
      <c r="I565" s="3">
        <v>1645780.0598209491</v>
      </c>
      <c r="J565" s="3">
        <v>2164818.9870330691</v>
      </c>
      <c r="K565" s="3">
        <f t="shared" si="18"/>
        <v>3810599.0468540182</v>
      </c>
      <c r="L565" s="3">
        <f>IFERROR(INDEX('CHIRP Payment Calc'!K:K,MATCH(A:A,'CHIRP Payment Calc'!A:A,0)),0)</f>
        <v>4563813.2037398051</v>
      </c>
      <c r="M565" s="3">
        <f t="shared" si="19"/>
        <v>-753214.15688578691</v>
      </c>
    </row>
    <row r="566" spans="1:13">
      <c r="A566" s="9" t="s">
        <v>1378</v>
      </c>
      <c r="C566" s="9" t="s">
        <v>222</v>
      </c>
      <c r="D566" s="4" t="s">
        <v>1379</v>
      </c>
      <c r="E566" s="14" t="s">
        <v>1379</v>
      </c>
      <c r="F566" s="14" t="s">
        <v>1380</v>
      </c>
      <c r="G566" s="14" t="s">
        <v>1378</v>
      </c>
      <c r="H566" s="9" t="s">
        <v>1780</v>
      </c>
      <c r="I566" s="3">
        <v>0</v>
      </c>
      <c r="J566" s="3">
        <v>0</v>
      </c>
      <c r="K566" s="3">
        <f t="shared" si="18"/>
        <v>0</v>
      </c>
      <c r="L566" s="3">
        <f>IFERROR(INDEX('CHIRP Payment Calc'!K:K,MATCH(A:A,'CHIRP Payment Calc'!A:A,0)),0)</f>
        <v>0</v>
      </c>
      <c r="M566" s="3">
        <f t="shared" si="19"/>
        <v>0</v>
      </c>
    </row>
    <row r="567" spans="1:13">
      <c r="A567" s="9" t="s">
        <v>1031</v>
      </c>
      <c r="C567" s="9" t="s">
        <v>222</v>
      </c>
      <c r="D567" s="4" t="s">
        <v>1032</v>
      </c>
      <c r="E567" s="14" t="s">
        <v>1032</v>
      </c>
      <c r="F567" s="14" t="s">
        <v>1033</v>
      </c>
      <c r="G567" s="14" t="s">
        <v>1031</v>
      </c>
      <c r="H567" s="9" t="s">
        <v>1779</v>
      </c>
      <c r="I567" s="3">
        <v>2982350.3599278196</v>
      </c>
      <c r="J567" s="3">
        <v>2206601.0631567515</v>
      </c>
      <c r="K567" s="3">
        <f t="shared" si="18"/>
        <v>5188951.423084571</v>
      </c>
      <c r="L567" s="3">
        <f>IFERROR(INDEX('CHIRP Payment Calc'!K:K,MATCH(A:A,'CHIRP Payment Calc'!A:A,0)),0)</f>
        <v>7418355.1783469338</v>
      </c>
      <c r="M567" s="3">
        <f t="shared" si="19"/>
        <v>-2229403.7552623628</v>
      </c>
    </row>
    <row r="568" spans="1:13">
      <c r="A568" s="9" t="s">
        <v>1065</v>
      </c>
      <c r="C568" s="9" t="s">
        <v>222</v>
      </c>
      <c r="D568" s="4" t="s">
        <v>1066</v>
      </c>
      <c r="E568" s="14" t="s">
        <v>1066</v>
      </c>
      <c r="F568" s="14" t="s">
        <v>1067</v>
      </c>
      <c r="G568" s="14" t="s">
        <v>1065</v>
      </c>
      <c r="H568" s="9" t="s">
        <v>1778</v>
      </c>
      <c r="I568" s="3">
        <v>16665152.290954616</v>
      </c>
      <c r="J568" s="3">
        <v>2662132.4396368046</v>
      </c>
      <c r="K568" s="3">
        <f t="shared" si="18"/>
        <v>19327284.73059142</v>
      </c>
      <c r="L568" s="3">
        <f>IFERROR(INDEX('CHIRP Payment Calc'!K:K,MATCH(A:A,'CHIRP Payment Calc'!A:A,0)),0)</f>
        <v>31124827.816000871</v>
      </c>
      <c r="M568" s="3">
        <f t="shared" si="19"/>
        <v>-11797543.085409451</v>
      </c>
    </row>
    <row r="569" spans="1:13">
      <c r="A569" s="9" t="s">
        <v>1059</v>
      </c>
      <c r="C569" s="9" t="s">
        <v>222</v>
      </c>
      <c r="D569" s="4" t="s">
        <v>1060</v>
      </c>
      <c r="E569" s="14" t="s">
        <v>1060</v>
      </c>
      <c r="F569" s="14" t="s">
        <v>1061</v>
      </c>
      <c r="G569" s="14" t="s">
        <v>1059</v>
      </c>
      <c r="H569" s="9" t="s">
        <v>1777</v>
      </c>
      <c r="I569" s="3">
        <v>2250614.3770119292</v>
      </c>
      <c r="J569" s="3">
        <v>1163221.3661406008</v>
      </c>
      <c r="K569" s="3">
        <f t="shared" si="18"/>
        <v>3413835.7431525299</v>
      </c>
      <c r="L569" s="3">
        <f>IFERROR(INDEX('CHIRP Payment Calc'!K:K,MATCH(A:A,'CHIRP Payment Calc'!A:A,0)),0)</f>
        <v>5837317.1642495524</v>
      </c>
      <c r="M569" s="3">
        <f t="shared" si="19"/>
        <v>-2423481.4210970225</v>
      </c>
    </row>
    <row r="570" spans="1:13">
      <c r="A570" s="9" t="s">
        <v>1062</v>
      </c>
      <c r="C570" s="9" t="s">
        <v>222</v>
      </c>
      <c r="D570" s="4" t="s">
        <v>1063</v>
      </c>
      <c r="E570" s="14" t="s">
        <v>1063</v>
      </c>
      <c r="F570" s="14" t="s">
        <v>1064</v>
      </c>
      <c r="G570" s="14" t="s">
        <v>1062</v>
      </c>
      <c r="H570" s="9" t="s">
        <v>1776</v>
      </c>
      <c r="I570" s="3">
        <v>4706961.2476003543</v>
      </c>
      <c r="J570" s="3">
        <v>5943889.0146941608</v>
      </c>
      <c r="K570" s="3">
        <f t="shared" si="18"/>
        <v>10650850.262294516</v>
      </c>
      <c r="L570" s="3">
        <f>IFERROR(INDEX('CHIRP Payment Calc'!K:K,MATCH(A:A,'CHIRP Payment Calc'!A:A,0)),0)</f>
        <v>16347264.565614792</v>
      </c>
      <c r="M570" s="3">
        <f t="shared" si="19"/>
        <v>-5696414.3033202756</v>
      </c>
    </row>
    <row r="571" spans="1:13">
      <c r="A571" s="9" t="s">
        <v>1056</v>
      </c>
      <c r="C571" s="9" t="s">
        <v>222</v>
      </c>
      <c r="D571" s="4" t="s">
        <v>1057</v>
      </c>
      <c r="E571" s="14" t="s">
        <v>1057</v>
      </c>
      <c r="F571" s="14" t="s">
        <v>1058</v>
      </c>
      <c r="G571" s="14" t="s">
        <v>1056</v>
      </c>
      <c r="H571" s="9" t="s">
        <v>1775</v>
      </c>
      <c r="I571" s="3">
        <v>19514412.645020399</v>
      </c>
      <c r="J571" s="3">
        <v>5969971.0816532839</v>
      </c>
      <c r="K571" s="3">
        <f t="shared" si="18"/>
        <v>25484383.726673685</v>
      </c>
      <c r="L571" s="3">
        <f>IFERROR(INDEX('CHIRP Payment Calc'!K:K,MATCH(A:A,'CHIRP Payment Calc'!A:A,0)),0)</f>
        <v>35485071.772889644</v>
      </c>
      <c r="M571" s="3">
        <f t="shared" si="19"/>
        <v>-10000688.046215959</v>
      </c>
    </row>
    <row r="572" spans="1:13">
      <c r="A572" s="9" t="s">
        <v>389</v>
      </c>
      <c r="C572" s="9" t="s">
        <v>222</v>
      </c>
      <c r="D572" s="4" t="s">
        <v>390</v>
      </c>
      <c r="E572" s="14" t="s">
        <v>390</v>
      </c>
      <c r="F572" s="14" t="s">
        <v>391</v>
      </c>
      <c r="G572" s="14" t="s">
        <v>389</v>
      </c>
      <c r="H572" s="9" t="s">
        <v>1774</v>
      </c>
      <c r="I572" s="3">
        <v>249768.9086501569</v>
      </c>
      <c r="J572" s="3">
        <v>135924.56019974148</v>
      </c>
      <c r="K572" s="3">
        <f t="shared" si="18"/>
        <v>385693.46884989837</v>
      </c>
      <c r="L572" s="3">
        <f>IFERROR(INDEX('CHIRP Payment Calc'!K:K,MATCH(A:A,'CHIRP Payment Calc'!A:A,0)),0)</f>
        <v>537445.90962237353</v>
      </c>
      <c r="M572" s="3">
        <f t="shared" si="19"/>
        <v>-151752.44077247515</v>
      </c>
    </row>
    <row r="573" spans="1:13">
      <c r="A573" s="9" t="s">
        <v>294</v>
      </c>
      <c r="C573" s="9" t="s">
        <v>222</v>
      </c>
      <c r="D573" s="4" t="s">
        <v>295</v>
      </c>
      <c r="E573" s="14" t="s">
        <v>295</v>
      </c>
      <c r="F573" s="14" t="s">
        <v>296</v>
      </c>
      <c r="G573" s="14" t="s">
        <v>294</v>
      </c>
      <c r="H573" s="9" t="s">
        <v>1773</v>
      </c>
      <c r="I573" s="3">
        <v>0</v>
      </c>
      <c r="J573" s="3">
        <v>0</v>
      </c>
      <c r="K573" s="3">
        <f t="shared" si="18"/>
        <v>0</v>
      </c>
      <c r="L573" s="3">
        <f>IFERROR(INDEX('CHIRP Payment Calc'!K:K,MATCH(A:A,'CHIRP Payment Calc'!A:A,0)),0)</f>
        <v>0</v>
      </c>
      <c r="M573" s="3">
        <f t="shared" si="19"/>
        <v>0</v>
      </c>
    </row>
    <row r="574" spans="1:13">
      <c r="A574" s="9" t="s">
        <v>1556</v>
      </c>
      <c r="C574" s="9" t="s">
        <v>222</v>
      </c>
      <c r="D574" s="4" t="s">
        <v>1724</v>
      </c>
      <c r="E574" s="14" t="s">
        <v>1724</v>
      </c>
      <c r="F574" s="14" t="s">
        <v>834</v>
      </c>
      <c r="G574" s="14" t="s">
        <v>1556</v>
      </c>
      <c r="H574" s="9" t="s">
        <v>1772</v>
      </c>
      <c r="I574" s="3">
        <v>1891910.5053131003</v>
      </c>
      <c r="J574" s="3">
        <v>879275.03707265831</v>
      </c>
      <c r="K574" s="3">
        <f t="shared" si="18"/>
        <v>2771185.5423857588</v>
      </c>
      <c r="L574" s="3">
        <f>IFERROR(INDEX('CHIRP Payment Calc'!K:K,MATCH(A:A,'CHIRP Payment Calc'!A:A,0)),0)</f>
        <v>0</v>
      </c>
      <c r="M574" s="3">
        <f t="shared" si="19"/>
        <v>2771185.5423857588</v>
      </c>
    </row>
    <row r="575" spans="1:13">
      <c r="A575" s="9" t="s">
        <v>1536</v>
      </c>
      <c r="C575" s="9" t="s">
        <v>222</v>
      </c>
      <c r="D575" s="4" t="s">
        <v>1537</v>
      </c>
      <c r="E575" s="14" t="s">
        <v>1537</v>
      </c>
      <c r="F575" s="14" t="s">
        <v>1538</v>
      </c>
      <c r="G575" s="14" t="s">
        <v>1536</v>
      </c>
      <c r="H575" s="9" t="s">
        <v>1771</v>
      </c>
      <c r="I575" s="3">
        <v>991.45533478735865</v>
      </c>
      <c r="J575" s="3">
        <v>0</v>
      </c>
      <c r="K575" s="3">
        <f t="shared" si="18"/>
        <v>991.45533478735865</v>
      </c>
      <c r="L575" s="3">
        <f>IFERROR(INDEX('CHIRP Payment Calc'!K:K,MATCH(A:A,'CHIRP Payment Calc'!A:A,0)),0)</f>
        <v>0</v>
      </c>
      <c r="M575" s="3">
        <f t="shared" si="19"/>
        <v>991.45533478735865</v>
      </c>
    </row>
    <row r="576" spans="1:13">
      <c r="A576" s="9" t="s">
        <v>52</v>
      </c>
      <c r="C576" s="9" t="s">
        <v>222</v>
      </c>
      <c r="D576" s="4" t="s">
        <v>53</v>
      </c>
      <c r="E576" s="14" t="s">
        <v>53</v>
      </c>
      <c r="F576" s="14" t="s">
        <v>54</v>
      </c>
      <c r="G576" s="14" t="s">
        <v>52</v>
      </c>
      <c r="H576" s="9" t="s">
        <v>1770</v>
      </c>
      <c r="I576" s="3">
        <v>0</v>
      </c>
      <c r="J576" s="3">
        <v>0</v>
      </c>
      <c r="K576" s="3">
        <f t="shared" si="18"/>
        <v>0</v>
      </c>
      <c r="L576" s="3">
        <f>IFERROR(INDEX('CHIRP Payment Calc'!K:K,MATCH(A:A,'CHIRP Payment Calc'!A:A,0)),0)</f>
        <v>0</v>
      </c>
      <c r="M576" s="3">
        <f t="shared" si="19"/>
        <v>0</v>
      </c>
    </row>
    <row r="577" spans="1:13">
      <c r="A577" s="9" t="s">
        <v>1025</v>
      </c>
      <c r="C577" s="9" t="s">
        <v>1479</v>
      </c>
      <c r="D577" s="4" t="s">
        <v>1026</v>
      </c>
      <c r="E577" s="14" t="s">
        <v>1026</v>
      </c>
      <c r="F577" s="14" t="s">
        <v>1027</v>
      </c>
      <c r="G577" s="14" t="s">
        <v>1025</v>
      </c>
      <c r="H577" s="9" t="s">
        <v>1769</v>
      </c>
      <c r="I577" s="3">
        <v>424047.79933854361</v>
      </c>
      <c r="J577" s="3">
        <v>402222.19857934234</v>
      </c>
      <c r="K577" s="3">
        <f t="shared" si="18"/>
        <v>826269.99791788589</v>
      </c>
      <c r="L577" s="3">
        <f>IFERROR(INDEX('CHIRP Payment Calc'!K:K,MATCH(A:A,'CHIRP Payment Calc'!A:A,0)),0)</f>
        <v>1046282.8999943045</v>
      </c>
      <c r="M577" s="3">
        <f t="shared" si="19"/>
        <v>-220012.90207641863</v>
      </c>
    </row>
    <row r="578" spans="1:13">
      <c r="A578" s="9" t="s">
        <v>323</v>
      </c>
      <c r="C578" s="9" t="s">
        <v>1479</v>
      </c>
      <c r="D578" s="4" t="s">
        <v>324</v>
      </c>
      <c r="E578" s="14" t="s">
        <v>324</v>
      </c>
      <c r="F578" s="14" t="s">
        <v>325</v>
      </c>
      <c r="G578" s="14" t="s">
        <v>323</v>
      </c>
      <c r="H578" s="9" t="s">
        <v>1768</v>
      </c>
      <c r="I578" s="3">
        <v>7742.8441843080445</v>
      </c>
      <c r="J578" s="3">
        <v>33201.494883046958</v>
      </c>
      <c r="K578" s="3">
        <f t="shared" si="18"/>
        <v>40944.339067355002</v>
      </c>
      <c r="L578" s="3">
        <f>IFERROR(INDEX('CHIRP Payment Calc'!K:K,MATCH(A:A,'CHIRP Payment Calc'!A:A,0)),0)</f>
        <v>0</v>
      </c>
      <c r="M578" s="3">
        <f t="shared" si="19"/>
        <v>40944.339067355002</v>
      </c>
    </row>
    <row r="579" spans="1:13">
      <c r="A579" s="9" t="s">
        <v>1019</v>
      </c>
      <c r="C579" s="9" t="s">
        <v>1479</v>
      </c>
      <c r="D579" s="4" t="s">
        <v>1020</v>
      </c>
      <c r="E579" s="14" t="s">
        <v>1020</v>
      </c>
      <c r="F579" s="14" t="s">
        <v>1021</v>
      </c>
      <c r="G579" s="14" t="s">
        <v>1019</v>
      </c>
      <c r="H579" s="9" t="s">
        <v>1767</v>
      </c>
      <c r="I579" s="3">
        <v>620047.28201076796</v>
      </c>
      <c r="J579" s="3">
        <v>252649.76147978476</v>
      </c>
      <c r="K579" s="3">
        <f t="shared" si="18"/>
        <v>872697.04349055269</v>
      </c>
      <c r="L579" s="3">
        <f>IFERROR(INDEX('CHIRP Payment Calc'!K:K,MATCH(A:A,'CHIRP Payment Calc'!A:A,0)),0)</f>
        <v>1154970.723295483</v>
      </c>
      <c r="M579" s="3">
        <f t="shared" si="19"/>
        <v>-282273.67980493035</v>
      </c>
    </row>
    <row r="580" spans="1:13">
      <c r="A580" s="9" t="s">
        <v>374</v>
      </c>
      <c r="C580" s="9" t="s">
        <v>1479</v>
      </c>
      <c r="D580" s="4" t="s">
        <v>375</v>
      </c>
      <c r="E580" s="14" t="s">
        <v>375</v>
      </c>
      <c r="F580" s="14" t="s">
        <v>376</v>
      </c>
      <c r="G580" s="14" t="s">
        <v>374</v>
      </c>
      <c r="H580" s="9" t="s">
        <v>1766</v>
      </c>
      <c r="I580" s="3">
        <v>2253838.4823481245</v>
      </c>
      <c r="J580" s="3">
        <v>1299344.5576933951</v>
      </c>
      <c r="K580" s="3">
        <f t="shared" si="18"/>
        <v>3553183.0400415193</v>
      </c>
      <c r="L580" s="3">
        <f>IFERROR(INDEX('CHIRP Payment Calc'!K:K,MATCH(A:A,'CHIRP Payment Calc'!A:A,0)),0)</f>
        <v>6198126.832409529</v>
      </c>
      <c r="M580" s="3">
        <f t="shared" si="19"/>
        <v>-2644943.7923680097</v>
      </c>
    </row>
    <row r="581" spans="1:13">
      <c r="A581" s="9" t="s">
        <v>422</v>
      </c>
      <c r="C581" s="9" t="s">
        <v>1479</v>
      </c>
      <c r="D581" s="4" t="s">
        <v>423</v>
      </c>
      <c r="E581" s="14" t="s">
        <v>423</v>
      </c>
      <c r="F581" s="14" t="s">
        <v>424</v>
      </c>
      <c r="G581" s="14" t="s">
        <v>422</v>
      </c>
      <c r="H581" s="9" t="s">
        <v>1608</v>
      </c>
      <c r="I581" s="3">
        <v>304763.92245895922</v>
      </c>
      <c r="J581" s="3">
        <v>444179.79485404113</v>
      </c>
      <c r="K581" s="3">
        <f t="shared" si="18"/>
        <v>748943.71731300035</v>
      </c>
      <c r="L581" s="3">
        <f>IFERROR(INDEX('CHIRP Payment Calc'!K:K,MATCH(A:A,'CHIRP Payment Calc'!A:A,0)),0)</f>
        <v>926993.18539728154</v>
      </c>
      <c r="M581" s="3">
        <f t="shared" si="19"/>
        <v>-178049.46808428119</v>
      </c>
    </row>
    <row r="582" spans="1:13">
      <c r="A582" s="9" t="s">
        <v>1007</v>
      </c>
      <c r="C582" s="9" t="s">
        <v>1479</v>
      </c>
      <c r="D582" s="4" t="s">
        <v>1008</v>
      </c>
      <c r="E582" s="14" t="s">
        <v>1008</v>
      </c>
      <c r="F582" s="14" t="s">
        <v>1009</v>
      </c>
      <c r="G582" s="14" t="s">
        <v>1007</v>
      </c>
      <c r="H582" s="9" t="s">
        <v>1765</v>
      </c>
      <c r="I582" s="3">
        <v>361003.78538131935</v>
      </c>
      <c r="J582" s="3">
        <v>251475.22148591786</v>
      </c>
      <c r="K582" s="3">
        <f t="shared" si="18"/>
        <v>612479.00686723716</v>
      </c>
      <c r="L582" s="3">
        <f>IFERROR(INDEX('CHIRP Payment Calc'!K:K,MATCH(A:A,'CHIRP Payment Calc'!A:A,0)),0)</f>
        <v>836727.53682187153</v>
      </c>
      <c r="M582" s="3">
        <f t="shared" si="19"/>
        <v>-224248.52995463437</v>
      </c>
    </row>
    <row r="583" spans="1:13">
      <c r="A583" s="9" t="s">
        <v>1022</v>
      </c>
      <c r="C583" s="9" t="s">
        <v>1554</v>
      </c>
      <c r="D583" s="4" t="s">
        <v>1023</v>
      </c>
      <c r="E583" s="14" t="s">
        <v>1023</v>
      </c>
      <c r="F583" s="14" t="s">
        <v>1024</v>
      </c>
      <c r="G583" s="14" t="s">
        <v>1022</v>
      </c>
      <c r="H583" s="9" t="s">
        <v>1024</v>
      </c>
      <c r="I583" s="3">
        <v>2679605.6190732233</v>
      </c>
      <c r="J583" s="3">
        <v>10711922.630975118</v>
      </c>
      <c r="K583" s="3">
        <f t="shared" si="18"/>
        <v>13391528.250048341</v>
      </c>
      <c r="L583" s="3">
        <f>IFERROR(INDEX('CHIRP Payment Calc'!K:K,MATCH(A:A,'CHIRP Payment Calc'!A:A,0)),0)</f>
        <v>16813318.317463249</v>
      </c>
      <c r="M583" s="3">
        <f t="shared" si="19"/>
        <v>-3421790.0674149077</v>
      </c>
    </row>
    <row r="584" spans="1:13">
      <c r="K584" s="2" t="e">
        <f>SUM(K24,K109,K138,K141,K264,K289,K295,K354,#REF!,K435,K468,K515,K546,K559,K560)</f>
        <v>#REF!</v>
      </c>
      <c r="L584" s="2"/>
      <c r="M584" s="2"/>
    </row>
  </sheetData>
  <autoFilter ref="A1:M584" xr:uid="{7F72A074-E1F7-44AA-BD73-B86C8AB8E0BD}">
    <sortState xmlns:xlrd2="http://schemas.microsoft.com/office/spreadsheetml/2017/richdata2" ref="A8:M584">
      <sortCondition ref="D1:D584"/>
    </sortState>
  </autoFilter>
  <conditionalFormatting sqref="H540:H583 E1:F1048576">
    <cfRule type="duplicateValues" dxfId="2" priority="3"/>
  </conditionalFormatting>
  <conditionalFormatting sqref="I540:I583 G1:G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5CD6-CA08-45BE-9900-31D84AA3CA13}">
  <dimension ref="A1:E55"/>
  <sheetViews>
    <sheetView workbookViewId="0"/>
  </sheetViews>
  <sheetFormatPr defaultColWidth="8.796875" defaultRowHeight="12.75"/>
  <cols>
    <col min="1" max="1" width="22.5" style="18" customWidth="1"/>
    <col min="2" max="2" width="66" style="20" bestFit="1" customWidth="1"/>
    <col min="3" max="3" width="14.19921875" style="19" bestFit="1" customWidth="1"/>
    <col min="4" max="4" width="11.5" style="19" bestFit="1" customWidth="1"/>
    <col min="5" max="5" width="14.19921875" style="19" bestFit="1" customWidth="1"/>
    <col min="6" max="16384" width="8.796875" style="18"/>
  </cols>
  <sheetData>
    <row r="1" spans="1:5" ht="15">
      <c r="A1" t="s">
        <v>2391</v>
      </c>
      <c r="B1" s="7"/>
      <c r="C1" s="8" t="s">
        <v>2400</v>
      </c>
      <c r="D1" s="8"/>
      <c r="E1" s="8"/>
    </row>
    <row r="2" spans="1:5" ht="15">
      <c r="A2" t="s">
        <v>0</v>
      </c>
      <c r="B2" s="7" t="s">
        <v>2277</v>
      </c>
      <c r="C2" s="8" t="s">
        <v>2401</v>
      </c>
      <c r="D2" s="8" t="s">
        <v>2402</v>
      </c>
      <c r="E2" s="8" t="s">
        <v>2386</v>
      </c>
    </row>
    <row r="3" spans="1:5" ht="30">
      <c r="A3" t="s">
        <v>2323</v>
      </c>
      <c r="B3" s="7" t="s">
        <v>2352</v>
      </c>
      <c r="C3" s="8">
        <v>437092.37999999989</v>
      </c>
      <c r="D3" s="8">
        <v>19898.07</v>
      </c>
      <c r="E3" s="8">
        <v>456990.4499999999</v>
      </c>
    </row>
    <row r="4" spans="1:5" ht="15">
      <c r="A4" t="s">
        <v>1274</v>
      </c>
      <c r="B4" s="7" t="s">
        <v>1856</v>
      </c>
      <c r="C4" s="8">
        <v>2548354.3500000006</v>
      </c>
      <c r="D4" s="8"/>
      <c r="E4" s="8">
        <v>2548354.3500000006</v>
      </c>
    </row>
    <row r="5" spans="1:5" ht="15">
      <c r="A5" t="s">
        <v>2301</v>
      </c>
      <c r="B5" s="7" t="s">
        <v>2353</v>
      </c>
      <c r="C5" s="8">
        <v>315962.28000000003</v>
      </c>
      <c r="D5" s="8"/>
      <c r="E5" s="8">
        <v>315962.28000000003</v>
      </c>
    </row>
    <row r="6" spans="1:5" ht="15">
      <c r="A6" t="s">
        <v>2305</v>
      </c>
      <c r="B6" s="7" t="s">
        <v>2354</v>
      </c>
      <c r="C6" s="8">
        <v>407278.99000000005</v>
      </c>
      <c r="D6" s="8"/>
      <c r="E6" s="8">
        <v>407278.99000000005</v>
      </c>
    </row>
    <row r="7" spans="1:5" ht="15">
      <c r="A7" t="s">
        <v>2307</v>
      </c>
      <c r="B7" s="7" t="s">
        <v>2355</v>
      </c>
      <c r="C7" s="8">
        <v>1170990.22</v>
      </c>
      <c r="D7" s="8"/>
      <c r="E7" s="8">
        <v>1170990.22</v>
      </c>
    </row>
    <row r="8" spans="1:5" ht="15">
      <c r="A8" t="s">
        <v>1231</v>
      </c>
      <c r="B8" s="7" t="s">
        <v>2356</v>
      </c>
      <c r="C8" s="8">
        <v>2248289.4700000002</v>
      </c>
      <c r="D8" s="8">
        <v>14317.25</v>
      </c>
      <c r="E8" s="8">
        <v>2262606.7200000002</v>
      </c>
    </row>
    <row r="9" spans="1:5" ht="15">
      <c r="A9" t="s">
        <v>1259</v>
      </c>
      <c r="B9" s="7" t="s">
        <v>2357</v>
      </c>
      <c r="C9" s="8">
        <v>1926191.569999998</v>
      </c>
      <c r="D9" s="8">
        <v>0</v>
      </c>
      <c r="E9" s="8">
        <v>1926191.569999998</v>
      </c>
    </row>
    <row r="10" spans="1:5" ht="15">
      <c r="A10" t="s">
        <v>2056</v>
      </c>
      <c r="B10" s="7" t="s">
        <v>2358</v>
      </c>
      <c r="C10" s="8">
        <v>437</v>
      </c>
      <c r="D10" s="8"/>
      <c r="E10" s="8">
        <v>437</v>
      </c>
    </row>
    <row r="11" spans="1:5" ht="15">
      <c r="A11" t="s">
        <v>1250</v>
      </c>
      <c r="B11" s="7" t="s">
        <v>2359</v>
      </c>
      <c r="C11" s="8">
        <v>570523.56999999995</v>
      </c>
      <c r="D11" s="8">
        <v>0</v>
      </c>
      <c r="E11" s="8">
        <v>570523.56999999995</v>
      </c>
    </row>
    <row r="12" spans="1:5" ht="15">
      <c r="A12" t="s">
        <v>1339</v>
      </c>
      <c r="B12" s="7" t="s">
        <v>2360</v>
      </c>
      <c r="C12" s="8">
        <v>3818480.3200000012</v>
      </c>
      <c r="D12" s="8"/>
      <c r="E12" s="8">
        <v>3818480.3200000012</v>
      </c>
    </row>
    <row r="13" spans="1:5" ht="15">
      <c r="A13" t="s">
        <v>488</v>
      </c>
      <c r="B13" s="7" t="s">
        <v>2296</v>
      </c>
      <c r="C13" s="8">
        <v>1013911.5800000018</v>
      </c>
      <c r="D13" s="8">
        <v>7800</v>
      </c>
      <c r="E13" s="8">
        <v>1021711.5800000018</v>
      </c>
    </row>
    <row r="14" spans="1:5" ht="15">
      <c r="A14" t="s">
        <v>1309</v>
      </c>
      <c r="B14" s="7" t="s">
        <v>1798</v>
      </c>
      <c r="C14" s="8">
        <v>72506.73</v>
      </c>
      <c r="D14" s="8">
        <v>0</v>
      </c>
      <c r="E14" s="8">
        <v>72506.73</v>
      </c>
    </row>
    <row r="15" spans="1:5" ht="15">
      <c r="A15" t="s">
        <v>2329</v>
      </c>
      <c r="B15" s="7" t="s">
        <v>2361</v>
      </c>
      <c r="C15" s="8">
        <v>4970341.2200000035</v>
      </c>
      <c r="D15" s="8"/>
      <c r="E15" s="8">
        <v>4970341.2200000035</v>
      </c>
    </row>
    <row r="16" spans="1:5" ht="15">
      <c r="A16" t="s">
        <v>1300</v>
      </c>
      <c r="B16" s="7" t="s">
        <v>2362</v>
      </c>
      <c r="C16" s="8">
        <v>1062503.7000000002</v>
      </c>
      <c r="D16" s="8"/>
      <c r="E16" s="8">
        <v>1062503.7000000002</v>
      </c>
    </row>
    <row r="17" spans="1:5" ht="15">
      <c r="A17" t="s">
        <v>1247</v>
      </c>
      <c r="B17" s="7" t="s">
        <v>2293</v>
      </c>
      <c r="C17" s="8">
        <v>91508.66</v>
      </c>
      <c r="D17" s="8"/>
      <c r="E17" s="8">
        <v>91508.66</v>
      </c>
    </row>
    <row r="18" spans="1:5" ht="15">
      <c r="A18" t="s">
        <v>2314</v>
      </c>
      <c r="B18" s="7" t="s">
        <v>2363</v>
      </c>
      <c r="C18" s="8">
        <v>320683.46999999997</v>
      </c>
      <c r="D18" s="8"/>
      <c r="E18" s="8">
        <v>320683.46999999997</v>
      </c>
    </row>
    <row r="19" spans="1:5" ht="15">
      <c r="A19" t="s">
        <v>1353</v>
      </c>
      <c r="B19" s="7" t="s">
        <v>2364</v>
      </c>
      <c r="C19" s="8">
        <v>3628123.6400000062</v>
      </c>
      <c r="D19" s="8">
        <v>14893</v>
      </c>
      <c r="E19" s="8">
        <v>3643016.6400000062</v>
      </c>
    </row>
    <row r="20" spans="1:5" ht="15">
      <c r="A20" t="s">
        <v>2316</v>
      </c>
      <c r="B20" s="7" t="s">
        <v>2365</v>
      </c>
      <c r="C20" s="8">
        <v>264449.07999999996</v>
      </c>
      <c r="D20" s="8"/>
      <c r="E20" s="8">
        <v>264449.07999999996</v>
      </c>
    </row>
    <row r="21" spans="1:5" ht="15">
      <c r="A21" t="s">
        <v>2312</v>
      </c>
      <c r="B21" s="7" t="s">
        <v>2366</v>
      </c>
      <c r="C21" s="8">
        <v>98049.64</v>
      </c>
      <c r="D21" s="8"/>
      <c r="E21" s="8">
        <v>98049.64</v>
      </c>
    </row>
    <row r="22" spans="1:5" ht="15">
      <c r="A22" t="s">
        <v>1312</v>
      </c>
      <c r="B22" s="7" t="s">
        <v>2367</v>
      </c>
      <c r="C22" s="8">
        <v>3365143.350000001</v>
      </c>
      <c r="D22" s="8">
        <v>11886</v>
      </c>
      <c r="E22" s="8">
        <v>3377029.350000001</v>
      </c>
    </row>
    <row r="23" spans="1:5" ht="15">
      <c r="A23" t="s">
        <v>1345</v>
      </c>
      <c r="B23" s="7" t="s">
        <v>2368</v>
      </c>
      <c r="C23" s="8">
        <v>1210661.8199999998</v>
      </c>
      <c r="D23" s="8">
        <v>0</v>
      </c>
      <c r="E23" s="8">
        <v>1210661.8199999998</v>
      </c>
    </row>
    <row r="24" spans="1:5" ht="15">
      <c r="A24" t="s">
        <v>1256</v>
      </c>
      <c r="B24" s="7" t="s">
        <v>2239</v>
      </c>
      <c r="C24" s="8">
        <v>1111272.8500000001</v>
      </c>
      <c r="D24" s="8">
        <v>9100</v>
      </c>
      <c r="E24" s="8">
        <v>1120372.8500000001</v>
      </c>
    </row>
    <row r="25" spans="1:5" ht="15">
      <c r="A25" t="s">
        <v>1348</v>
      </c>
      <c r="B25" s="7" t="s">
        <v>2172</v>
      </c>
      <c r="C25" s="8">
        <v>2629930.9500000002</v>
      </c>
      <c r="D25" s="8">
        <v>0</v>
      </c>
      <c r="E25" s="8">
        <v>2629930.9500000002</v>
      </c>
    </row>
    <row r="26" spans="1:5" ht="15">
      <c r="A26" t="s">
        <v>1262</v>
      </c>
      <c r="B26" s="7" t="s">
        <v>2369</v>
      </c>
      <c r="C26" s="8">
        <v>27366</v>
      </c>
      <c r="D26" s="8">
        <v>14490</v>
      </c>
      <c r="E26" s="8">
        <v>41856</v>
      </c>
    </row>
    <row r="27" spans="1:5" ht="15">
      <c r="A27" t="s">
        <v>1297</v>
      </c>
      <c r="B27" s="7" t="s">
        <v>2370</v>
      </c>
      <c r="C27" s="8">
        <v>604533.33000000019</v>
      </c>
      <c r="D27" s="8">
        <v>0</v>
      </c>
      <c r="E27" s="8">
        <v>604533.33000000019</v>
      </c>
    </row>
    <row r="28" spans="1:5" ht="15">
      <c r="A28" t="s">
        <v>1218</v>
      </c>
      <c r="B28" s="7" t="s">
        <v>2371</v>
      </c>
      <c r="C28" s="8">
        <v>1715268.399999999</v>
      </c>
      <c r="D28" s="8">
        <v>18881.5</v>
      </c>
      <c r="E28" s="8">
        <v>1734149.899999999</v>
      </c>
    </row>
    <row r="29" spans="1:5" ht="15">
      <c r="A29" t="s">
        <v>1228</v>
      </c>
      <c r="B29" s="7" t="s">
        <v>2372</v>
      </c>
      <c r="C29" s="8">
        <v>11121.39</v>
      </c>
      <c r="D29" s="8"/>
      <c r="E29" s="8">
        <v>11121.39</v>
      </c>
    </row>
    <row r="30" spans="1:5" ht="15">
      <c r="A30" t="s">
        <v>1342</v>
      </c>
      <c r="B30" s="7" t="s">
        <v>2373</v>
      </c>
      <c r="C30" s="8">
        <v>1957767.4200000009</v>
      </c>
      <c r="D30" s="8">
        <v>1364</v>
      </c>
      <c r="E30" s="8">
        <v>1959131.4200000009</v>
      </c>
    </row>
    <row r="31" spans="1:5" ht="15">
      <c r="A31" t="s">
        <v>1234</v>
      </c>
      <c r="B31" s="7" t="s">
        <v>2376</v>
      </c>
      <c r="C31" s="8">
        <v>2991661.0399999986</v>
      </c>
      <c r="D31" s="8">
        <v>6884.67</v>
      </c>
      <c r="E31" s="8">
        <v>2998545.7099999986</v>
      </c>
    </row>
    <row r="32" spans="1:5" ht="15">
      <c r="A32" t="s">
        <v>1282</v>
      </c>
      <c r="B32" s="7" t="s">
        <v>2378</v>
      </c>
      <c r="C32" s="8">
        <v>756647.02999999991</v>
      </c>
      <c r="D32" s="8">
        <v>0</v>
      </c>
      <c r="E32" s="8">
        <v>756647.02999999991</v>
      </c>
    </row>
    <row r="33" spans="1:5" ht="15">
      <c r="A33" t="s">
        <v>1215</v>
      </c>
      <c r="B33" s="7" t="s">
        <v>2379</v>
      </c>
      <c r="C33" s="8">
        <v>702451.44</v>
      </c>
      <c r="D33" s="8"/>
      <c r="E33" s="8">
        <v>702451.44</v>
      </c>
    </row>
    <row r="34" spans="1:5" ht="15">
      <c r="A34" t="s">
        <v>1753</v>
      </c>
      <c r="B34" s="7" t="s">
        <v>1764</v>
      </c>
      <c r="C34" s="8">
        <v>641714.65000000014</v>
      </c>
      <c r="D34" s="8"/>
      <c r="E34" s="8">
        <v>641714.65000000014</v>
      </c>
    </row>
    <row r="35" spans="1:5" ht="15">
      <c r="A35" t="s">
        <v>1209</v>
      </c>
      <c r="B35" s="7" t="s">
        <v>2380</v>
      </c>
      <c r="C35" s="8"/>
      <c r="D35" s="8">
        <v>840</v>
      </c>
      <c r="E35" s="8">
        <v>840</v>
      </c>
    </row>
    <row r="36" spans="1:5" ht="15">
      <c r="A36" t="s">
        <v>1271</v>
      </c>
      <c r="B36" s="7" t="s">
        <v>2297</v>
      </c>
      <c r="C36" s="8">
        <v>1320612.6099999996</v>
      </c>
      <c r="D36" s="8"/>
      <c r="E36" s="8">
        <v>1320612.6099999996</v>
      </c>
    </row>
    <row r="37" spans="1:5" ht="15">
      <c r="A37" t="s">
        <v>1303</v>
      </c>
      <c r="B37" s="7" t="s">
        <v>2298</v>
      </c>
      <c r="C37" s="8">
        <v>89829</v>
      </c>
      <c r="D37" s="8">
        <v>3750</v>
      </c>
      <c r="E37" s="8">
        <v>93579</v>
      </c>
    </row>
    <row r="38" spans="1:5" ht="15">
      <c r="A38" t="s">
        <v>1291</v>
      </c>
      <c r="B38" s="7" t="s">
        <v>2377</v>
      </c>
      <c r="C38" s="8"/>
      <c r="D38" s="8">
        <v>1364</v>
      </c>
      <c r="E38" s="8">
        <v>1364</v>
      </c>
    </row>
    <row r="39" spans="1:5" ht="15">
      <c r="A39" t="s">
        <v>1356</v>
      </c>
      <c r="B39" s="7" t="s">
        <v>2375</v>
      </c>
      <c r="C39" s="8">
        <v>901530.47</v>
      </c>
      <c r="D39" s="8">
        <v>4851.5</v>
      </c>
      <c r="E39" s="8">
        <v>906381.97</v>
      </c>
    </row>
    <row r="40" spans="1:5" ht="15">
      <c r="A40" t="s">
        <v>1244</v>
      </c>
      <c r="B40" s="7" t="s">
        <v>2292</v>
      </c>
      <c r="C40" s="8">
        <v>1177958.6800000002</v>
      </c>
      <c r="D40" s="8">
        <v>15500</v>
      </c>
      <c r="E40" s="8">
        <v>1193458.6800000002</v>
      </c>
    </row>
    <row r="41" spans="1:5" ht="15">
      <c r="A41" t="s">
        <v>1212</v>
      </c>
      <c r="B41" s="7" t="s">
        <v>2374</v>
      </c>
      <c r="C41" s="8">
        <v>1169454.43</v>
      </c>
      <c r="D41" s="8">
        <v>900</v>
      </c>
      <c r="E41" s="8">
        <v>1170354.43</v>
      </c>
    </row>
    <row r="42" spans="1:5" ht="15">
      <c r="A42" t="s">
        <v>1265</v>
      </c>
      <c r="B42" s="7" t="s">
        <v>2295</v>
      </c>
      <c r="C42" s="8">
        <v>1418312.6999999979</v>
      </c>
      <c r="D42" s="8">
        <v>3850</v>
      </c>
      <c r="E42" s="8">
        <v>1422162.6999999979</v>
      </c>
    </row>
    <row r="43" spans="1:5" ht="15">
      <c r="A43" t="s">
        <v>1306</v>
      </c>
      <c r="B43" s="7" t="s">
        <v>2299</v>
      </c>
      <c r="C43" s="8">
        <v>3387502.4399999948</v>
      </c>
      <c r="D43" s="8"/>
      <c r="E43" s="8">
        <v>3387502.4399999948</v>
      </c>
    </row>
    <row r="44" spans="1:5" ht="15">
      <c r="A44" t="s">
        <v>1324</v>
      </c>
      <c r="B44" s="7" t="s">
        <v>2327</v>
      </c>
      <c r="C44" s="8"/>
      <c r="D44" s="8">
        <v>3707.13</v>
      </c>
      <c r="E44" s="8">
        <v>3707.13</v>
      </c>
    </row>
    <row r="45" spans="1:5" ht="15">
      <c r="A45" t="s">
        <v>1285</v>
      </c>
      <c r="B45" s="7" t="s">
        <v>2381</v>
      </c>
      <c r="C45" s="8"/>
      <c r="D45" s="8">
        <v>25561.06</v>
      </c>
      <c r="E45" s="8">
        <v>25561.06</v>
      </c>
    </row>
    <row r="46" spans="1:5" ht="15">
      <c r="A46" t="s">
        <v>1321</v>
      </c>
      <c r="B46" s="7" t="s">
        <v>2382</v>
      </c>
      <c r="C46" s="8"/>
      <c r="D46" s="8">
        <v>0</v>
      </c>
      <c r="E46" s="8">
        <v>0</v>
      </c>
    </row>
    <row r="47" spans="1:5" ht="15">
      <c r="A47" t="s">
        <v>1253</v>
      </c>
      <c r="B47" s="7" t="s">
        <v>2294</v>
      </c>
      <c r="C47" s="8">
        <v>39393.939999999995</v>
      </c>
      <c r="D47" s="8">
        <v>0</v>
      </c>
      <c r="E47" s="8">
        <v>39393.939999999995</v>
      </c>
    </row>
    <row r="48" spans="1:5" ht="15">
      <c r="A48" t="s">
        <v>1241</v>
      </c>
      <c r="B48" s="7" t="s">
        <v>2236</v>
      </c>
      <c r="C48" s="8">
        <v>42133.22</v>
      </c>
      <c r="D48" s="8">
        <v>59700</v>
      </c>
      <c r="E48" s="8">
        <v>101833.22</v>
      </c>
    </row>
    <row r="49" spans="1:5" ht="15">
      <c r="A49" t="s">
        <v>1333</v>
      </c>
      <c r="B49" s="7" t="s">
        <v>2300</v>
      </c>
      <c r="C49" s="8">
        <v>3154495.5200000037</v>
      </c>
      <c r="D49" s="8">
        <v>12915</v>
      </c>
      <c r="E49" s="8">
        <v>3167410.5200000037</v>
      </c>
    </row>
    <row r="50" spans="1:5" ht="15">
      <c r="A50" t="s">
        <v>1327</v>
      </c>
      <c r="B50" s="7" t="s">
        <v>2384</v>
      </c>
      <c r="C50" s="8">
        <v>3180</v>
      </c>
      <c r="D50" s="8">
        <v>7875</v>
      </c>
      <c r="E50" s="8">
        <v>11055</v>
      </c>
    </row>
    <row r="51" spans="1:5" ht="15">
      <c r="A51" t="s">
        <v>1400</v>
      </c>
      <c r="B51" s="7" t="s">
        <v>1726</v>
      </c>
      <c r="C51" s="8">
        <v>6779.6100000000006</v>
      </c>
      <c r="D51" s="8">
        <v>0</v>
      </c>
      <c r="E51" s="8">
        <v>6779.6100000000006</v>
      </c>
    </row>
    <row r="52" spans="1:5" ht="15">
      <c r="A52" t="s">
        <v>1330</v>
      </c>
      <c r="B52" s="7" t="s">
        <v>2383</v>
      </c>
      <c r="C52" s="8">
        <v>1773489.8600000008</v>
      </c>
      <c r="D52" s="8">
        <v>7800</v>
      </c>
      <c r="E52" s="8">
        <v>1781289.8600000008</v>
      </c>
    </row>
    <row r="53" spans="1:5" ht="15">
      <c r="A53" t="s">
        <v>1515</v>
      </c>
      <c r="B53" s="7" t="s">
        <v>2141</v>
      </c>
      <c r="C53" s="8">
        <v>723217.89999999979</v>
      </c>
      <c r="D53" s="8"/>
      <c r="E53" s="8">
        <v>723217.89999999979</v>
      </c>
    </row>
    <row r="54" spans="1:5" ht="15">
      <c r="A54" t="s">
        <v>2322</v>
      </c>
      <c r="B54" s="7" t="s">
        <v>2351</v>
      </c>
      <c r="C54" s="8">
        <v>25197.350000000002</v>
      </c>
      <c r="D54" s="8"/>
      <c r="E54" s="8">
        <v>25197.350000000002</v>
      </c>
    </row>
    <row r="55" spans="1:5" ht="15">
      <c r="A55" t="s">
        <v>2386</v>
      </c>
      <c r="B55" s="7"/>
      <c r="C55" s="8">
        <v>57924305.270000003</v>
      </c>
      <c r="D55" s="8">
        <v>268128.18</v>
      </c>
      <c r="E55" s="8">
        <v>58192433.450000003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IGT Commitment Suggestions</vt:lpstr>
      <vt:lpstr>Summary</vt:lpstr>
      <vt:lpstr>CHIRP Payment Calc</vt:lpstr>
      <vt:lpstr>Fee Calc</vt:lpstr>
      <vt:lpstr>90% of ACR</vt:lpstr>
      <vt:lpstr>Final PGY4 AA Payment Summary</vt:lpstr>
      <vt:lpstr>MCO IMD Query from 2021 UPL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2022-05-27T20:32:52Z</dcterms:created>
  <dcterms:modified xsi:type="dcterms:W3CDTF">2022-05-27T20:32:55Z</dcterms:modified>
</cp:coreProperties>
</file>