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696BE57-BE01-4D73-8CBC-D761BAB8F552}" xr6:coauthVersionLast="47" xr6:coauthVersionMax="47" xr10:uidLastSave="{00000000-0000-0000-0000-000000000000}"/>
  <bookViews>
    <workbookView xWindow="30945" yWindow="3330" windowWidth="25245" windowHeight="11385" xr2:uid="{3A6A5A60-0C56-43D5-8F0A-AD0F1D221AC7}"/>
  </bookViews>
  <sheets>
    <sheet name="Public GME" sheetId="1" r:id="rId1"/>
  </sheets>
  <definedNames>
    <definedName name="_xlnm.Print_Area" localSheetId="0">'Public GME'!$A$4:$F$15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P15" i="1"/>
  <c r="Q14" i="1"/>
  <c r="Q13" i="1"/>
  <c r="Q12" i="1"/>
  <c r="Q11" i="1"/>
  <c r="Q10" i="1"/>
  <c r="Q9" i="1"/>
  <c r="Q8" i="1"/>
  <c r="Q7" i="1"/>
  <c r="Q6" i="1"/>
  <c r="P14" i="1"/>
  <c r="P13" i="1"/>
  <c r="P12" i="1"/>
  <c r="P11" i="1"/>
  <c r="P10" i="1"/>
  <c r="P9" i="1"/>
  <c r="P8" i="1"/>
  <c r="P7" i="1"/>
  <c r="P6" i="1"/>
  <c r="K14" i="1" l="1"/>
  <c r="J14" i="1"/>
  <c r="K13" i="1"/>
  <c r="J13" i="1"/>
  <c r="K12" i="1"/>
  <c r="J12" i="1"/>
  <c r="G12" i="1"/>
  <c r="K11" i="1"/>
  <c r="J11" i="1"/>
  <c r="K10" i="1"/>
  <c r="J10" i="1"/>
  <c r="K9" i="1"/>
  <c r="J9" i="1"/>
  <c r="K8" i="1" l="1"/>
  <c r="J8" i="1"/>
  <c r="K7" i="1"/>
  <c r="J7" i="1"/>
  <c r="K6" i="1"/>
  <c r="J6" i="1"/>
  <c r="I7" i="1" l="1"/>
  <c r="I8" i="1"/>
  <c r="I9" i="1"/>
  <c r="I10" i="1"/>
  <c r="I11" i="1"/>
  <c r="I12" i="1"/>
  <c r="I13" i="1"/>
  <c r="I14" i="1"/>
  <c r="L10" i="1" l="1"/>
  <c r="M10" i="1" s="1"/>
  <c r="O10" i="1" l="1"/>
  <c r="N10" i="1"/>
  <c r="L14" i="1"/>
  <c r="M14" i="1" s="1"/>
  <c r="L13" i="1"/>
  <c r="M13" i="1" s="1"/>
  <c r="L12" i="1"/>
  <c r="M12" i="1" s="1"/>
  <c r="L11" i="1"/>
  <c r="M11" i="1" s="1"/>
  <c r="L9" i="1"/>
  <c r="M9" i="1" s="1"/>
  <c r="L8" i="1"/>
  <c r="M8" i="1" s="1"/>
  <c r="L7" i="1"/>
  <c r="M7" i="1" s="1"/>
  <c r="L6" i="1"/>
  <c r="I6" i="1"/>
  <c r="O14" i="1" l="1"/>
  <c r="N14" i="1"/>
  <c r="O11" i="1"/>
  <c r="N11" i="1"/>
  <c r="N9" i="1"/>
  <c r="O9" i="1"/>
  <c r="N8" i="1"/>
  <c r="O8" i="1"/>
  <c r="N7" i="1"/>
  <c r="O7" i="1"/>
  <c r="N13" i="1"/>
  <c r="O13" i="1"/>
  <c r="O12" i="1"/>
  <c r="N12" i="1"/>
  <c r="M6" i="1"/>
  <c r="N6" i="1" l="1"/>
  <c r="O6" i="1"/>
  <c r="O15" i="1"/>
  <c r="M15" i="1"/>
  <c r="N15" i="1" l="1"/>
</calcChain>
</file>

<file path=xl/sharedStrings.xml><?xml version="1.0" encoding="utf-8"?>
<sst xmlns="http://schemas.openxmlformats.org/spreadsheetml/2006/main" count="70" uniqueCount="62">
  <si>
    <t>Public Hospital GME (FFY 2024)</t>
  </si>
  <si>
    <t>Federal Share (Oct23 - Dec23)</t>
  </si>
  <si>
    <t>Federal Share (Jan24 - Sept24)</t>
  </si>
  <si>
    <t>State Share (Oct23 - Dec23)</t>
  </si>
  <si>
    <t>State Share (Jan24 - Sept24)</t>
  </si>
  <si>
    <t>CCN</t>
  </si>
  <si>
    <t>NPI</t>
  </si>
  <si>
    <t>TPI</t>
  </si>
  <si>
    <t>Name</t>
  </si>
  <si>
    <t>City</t>
  </si>
  <si>
    <t>Latest Cost Report as of October 1, 2023</t>
  </si>
  <si>
    <t>Latest Avail CR
I &amp; R FTE
(Worksheet S-3, Part 1)</t>
  </si>
  <si>
    <t>Latest Avail CR
Per Resident Amount
(Worksheet E-4)</t>
  </si>
  <si>
    <t>Total GME Costs</t>
  </si>
  <si>
    <t xml:space="preserve">                                        Latest Avail CR Total Medicaid Days
(Worksheet S-3, Part 1)</t>
  </si>
  <si>
    <t xml:space="preserve">                               Latest Avail CR Total Hospital Days
(Worksheet S-3, Part 1)</t>
  </si>
  <si>
    <t>Percent Medicaid Days to Total Days
(Medicaid Util)</t>
  </si>
  <si>
    <t>FFY 2024 Medicaid Portion of GME Costs</t>
  </si>
  <si>
    <t>2024 First
Semi-Annual Payment
(January 2024)</t>
  </si>
  <si>
    <t>2024 Second
Semi-Annual Payment
(July 2024)</t>
  </si>
  <si>
    <t>IGT Required for First Payment</t>
  </si>
  <si>
    <t>IGT Required for Second Payment</t>
  </si>
  <si>
    <t>A</t>
  </si>
  <si>
    <t>B</t>
  </si>
  <si>
    <t>C</t>
  </si>
  <si>
    <t>D</t>
  </si>
  <si>
    <t>E</t>
  </si>
  <si>
    <t>F</t>
  </si>
  <si>
    <t>G=F*E</t>
  </si>
  <si>
    <t>H</t>
  </si>
  <si>
    <t>I</t>
  </si>
  <si>
    <t>J=H/I</t>
  </si>
  <si>
    <t>K=J*G</t>
  </si>
  <si>
    <t>L=K/2</t>
  </si>
  <si>
    <t>127295703</t>
  </si>
  <si>
    <t>Dallas County Hospital District - Parkland</t>
  </si>
  <si>
    <t>Dallas</t>
  </si>
  <si>
    <t>138951211</t>
  </si>
  <si>
    <t xml:space="preserve">University Medical Center </t>
  </si>
  <si>
    <t>El Paso</t>
  </si>
  <si>
    <t>126675104</t>
  </si>
  <si>
    <t>JPS Health Network</t>
  </si>
  <si>
    <t>Ft. Worth</t>
  </si>
  <si>
    <t>135235306</t>
  </si>
  <si>
    <t>Medical Center Hospital</t>
  </si>
  <si>
    <t>Odessa</t>
  </si>
  <si>
    <t>136143806</t>
  </si>
  <si>
    <t>Midland Memorial Hospital</t>
  </si>
  <si>
    <t>Midland</t>
  </si>
  <si>
    <t>136141205</t>
  </si>
  <si>
    <t>University Health System</t>
  </si>
  <si>
    <t>San Antonio</t>
  </si>
  <si>
    <t>133355104</t>
  </si>
  <si>
    <t>Harris Health System</t>
  </si>
  <si>
    <t>Houston</t>
  </si>
  <si>
    <t>131038504</t>
  </si>
  <si>
    <t>Hunt Regional Hospital</t>
  </si>
  <si>
    <t xml:space="preserve">Greenville </t>
  </si>
  <si>
    <t>137999206</t>
  </si>
  <si>
    <t>Lubbock</t>
  </si>
  <si>
    <t xml:space="preserve">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</si>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</sst>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44" fontId="8" fillId="0" borderId="2" xfId="0" applyNumberFormat="1" applyFont="1" applyBorder="1"/>
    <xf numFmtId="4" fontId="8" fillId="0" borderId="0" xfId="0" applyNumberFormat="1" applyFont="1"/>
    <xf numFmtId="44" fontId="5" fillId="2" borderId="1" xfId="0" applyNumberFormat="1" applyFont="1" applyFill="1" applyBorder="1"/>
    <xf numFmtId="0" fontId="11" fillId="0" borderId="0" xfId="0" applyFont="1"/>
    <xf numFmtId="0" fontId="9" fillId="4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2" borderId="3" xfId="0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wrapText="1"/>
    </xf>
    <xf numFmtId="0" fontId="0" fillId="2" borderId="4" xfId="0" applyFill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44" fontId="5" fillId="0" borderId="3" xfId="1" applyNumberFormat="1" applyFont="1" applyBorder="1"/>
    <xf numFmtId="44" fontId="5" fillId="0" borderId="3" xfId="2" applyFont="1" applyBorder="1"/>
    <xf numFmtId="164" fontId="5" fillId="0" borderId="3" xfId="1" applyNumberFormat="1" applyFont="1" applyBorder="1"/>
    <xf numFmtId="10" fontId="5" fillId="0" borderId="3" xfId="3" applyNumberFormat="1" applyFont="1" applyBorder="1"/>
    <xf numFmtId="44" fontId="5" fillId="0" borderId="3" xfId="0" applyNumberFormat="1" applyFont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14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right"/>
    </xf>
    <xf numFmtId="44" fontId="5" fillId="2" borderId="3" xfId="1" applyNumberFormat="1" applyFont="1" applyFill="1" applyBorder="1"/>
    <xf numFmtId="44" fontId="5" fillId="2" borderId="3" xfId="2" applyFont="1" applyFill="1" applyBorder="1"/>
    <xf numFmtId="164" fontId="5" fillId="2" borderId="3" xfId="1" applyNumberFormat="1" applyFont="1" applyFill="1" applyBorder="1"/>
    <xf numFmtId="10" fontId="5" fillId="2" borderId="3" xfId="3" applyNumberFormat="1" applyFont="1" applyFill="1" applyBorder="1"/>
    <xf numFmtId="44" fontId="5" fillId="2" borderId="3" xfId="0" applyNumberFormat="1" applyFont="1" applyFill="1" applyBorder="1"/>
    <xf numFmtId="0" fontId="6" fillId="2" borderId="3" xfId="0" applyFont="1" applyFill="1" applyBorder="1"/>
    <xf numFmtId="14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44" fontId="6" fillId="2" borderId="3" xfId="1" applyNumberFormat="1" applyFont="1" applyFill="1" applyBorder="1"/>
    <xf numFmtId="164" fontId="6" fillId="2" borderId="3" xfId="1" applyNumberFormat="1" applyFont="1" applyFill="1" applyBorder="1"/>
    <xf numFmtId="10" fontId="6" fillId="2" borderId="3" xfId="3" applyNumberFormat="1" applyFont="1" applyFill="1" applyBorder="1"/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44" fontId="6" fillId="0" borderId="3" xfId="1" applyNumberFormat="1" applyFont="1" applyBorder="1"/>
    <xf numFmtId="164" fontId="6" fillId="0" borderId="3" xfId="1" applyNumberFormat="1" applyFont="1" applyBorder="1"/>
    <xf numFmtId="10" fontId="6" fillId="0" borderId="3" xfId="3" applyNumberFormat="1" applyFont="1" applyBorder="1"/>
    <xf numFmtId="0" fontId="0" fillId="0" borderId="5" xfId="0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/>
    <xf numFmtId="14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44" fontId="6" fillId="0" borderId="5" xfId="1" applyNumberFormat="1" applyFont="1" applyBorder="1"/>
    <xf numFmtId="44" fontId="5" fillId="0" borderId="5" xfId="2" applyFont="1" applyBorder="1"/>
    <xf numFmtId="164" fontId="6" fillId="0" borderId="5" xfId="1" applyNumberFormat="1" applyFont="1" applyBorder="1"/>
    <xf numFmtId="10" fontId="6" fillId="0" borderId="5" xfId="3" applyNumberFormat="1" applyFont="1" applyBorder="1"/>
    <xf numFmtId="44" fontId="5" fillId="0" borderId="5" xfId="0" applyNumberFormat="1" applyFont="1" applyBorder="1"/>
    <xf numFmtId="44" fontId="0" fillId="0" borderId="0" xfId="0" applyNumberFormat="1"/>
    <xf numFmtId="10" fontId="11" fillId="0" borderId="0" xfId="3" applyNumberFormat="1" applyFont="1" applyAlignment="1">
      <alignment horizontal="center"/>
    </xf>
    <xf numFmtId="44" fontId="0" fillId="0" borderId="1" xfId="0" applyNumberFormat="1" applyBorder="1"/>
    <xf numFmtId="0" fontId="10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7C84-46AD-44AB-B0AD-8F2B413BCEE6}">
  <dimension ref="A1:Q24"/>
  <sheetViews>
    <sheetView tabSelected="1" zoomScaleNormal="100" workbookViewId="0">
      <pane ySplit="4" topLeftCell="A5" activePane="bottomLeft" state="frozen"/>
      <selection activeCell="D1" sqref="D1"/>
      <selection pane="bottomLeft" sqref="A1:D1"/>
    </sheetView>
  </sheetViews>
  <sheetFormatPr defaultRowHeight="15" x14ac:dyDescent="0.2"/>
  <cols>
    <col min="1" max="1" width="7.8984375" customWidth="1"/>
    <col min="2" max="2" width="11.69921875" customWidth="1"/>
    <col min="3" max="3" width="11.59765625" customWidth="1"/>
    <col min="4" max="4" width="32.296875" customWidth="1"/>
    <col min="5" max="5" width="12.59765625" customWidth="1"/>
    <col min="6" max="11" width="15.19921875" customWidth="1"/>
    <col min="12" max="12" width="10" customWidth="1"/>
    <col min="13" max="13" width="20.3984375" customWidth="1"/>
    <col min="14" max="17" width="23.69921875" customWidth="1"/>
  </cols>
  <sheetData>
    <row r="1" spans="1:17" ht="19.5" x14ac:dyDescent="0.25">
      <c r="A1" s="68" t="s">
        <v>0</v>
      </c>
      <c r="B1" s="68"/>
      <c r="C1" s="68"/>
      <c r="D1" s="68"/>
      <c r="N1" s="14" t="s">
        <v>1</v>
      </c>
      <c r="O1" s="66">
        <v>0.61650000000000005</v>
      </c>
      <c r="P1" s="14" t="s">
        <v>2</v>
      </c>
      <c r="Q1" s="66">
        <v>0.60150000000000003</v>
      </c>
    </row>
    <row r="2" spans="1:17" x14ac:dyDescent="0.2">
      <c r="N2" s="14" t="s">
        <v>3</v>
      </c>
      <c r="O2" s="66">
        <v>0.38350000000000001</v>
      </c>
      <c r="P2" s="14" t="s">
        <v>4</v>
      </c>
      <c r="Q2" s="66">
        <v>0.39850000000000002</v>
      </c>
    </row>
    <row r="4" spans="1:17" s="4" customFormat="1" ht="69" customHeight="1" x14ac:dyDescent="0.2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6" t="s">
        <v>18</v>
      </c>
      <c r="O4" s="16" t="s">
        <v>19</v>
      </c>
      <c r="P4" s="16" t="s">
        <v>20</v>
      </c>
      <c r="Q4" s="16" t="s">
        <v>21</v>
      </c>
    </row>
    <row r="5" spans="1:17" ht="15.75" x14ac:dyDescent="0.25">
      <c r="A5" s="17"/>
      <c r="B5" s="17"/>
      <c r="C5" s="18" t="s">
        <v>22</v>
      </c>
      <c r="D5" s="18" t="s">
        <v>23</v>
      </c>
      <c r="E5" s="18" t="s">
        <v>24</v>
      </c>
      <c r="F5" s="18" t="s">
        <v>25</v>
      </c>
      <c r="G5" s="19" t="s">
        <v>26</v>
      </c>
      <c r="H5" s="18" t="s">
        <v>27</v>
      </c>
      <c r="I5" s="20" t="s">
        <v>28</v>
      </c>
      <c r="J5" s="20" t="s">
        <v>29</v>
      </c>
      <c r="K5" s="20" t="s">
        <v>30</v>
      </c>
      <c r="L5" s="20" t="s">
        <v>31</v>
      </c>
      <c r="M5" s="19" t="s">
        <v>32</v>
      </c>
      <c r="N5" s="21" t="s">
        <v>33</v>
      </c>
      <c r="O5" s="21" t="s">
        <v>33</v>
      </c>
      <c r="P5" s="17"/>
      <c r="Q5" s="22"/>
    </row>
    <row r="6" spans="1:17" x14ac:dyDescent="0.2">
      <c r="A6" s="23">
        <v>450015</v>
      </c>
      <c r="B6" s="23">
        <v>1932123247</v>
      </c>
      <c r="C6" s="24" t="s">
        <v>34</v>
      </c>
      <c r="D6" s="25" t="s">
        <v>35</v>
      </c>
      <c r="E6" s="25" t="s">
        <v>36</v>
      </c>
      <c r="F6" s="26">
        <v>44834</v>
      </c>
      <c r="G6" s="27">
        <v>643.30999999999995</v>
      </c>
      <c r="H6" s="28">
        <v>106630.14</v>
      </c>
      <c r="I6" s="29">
        <f t="shared" ref="I6:I14" si="0">H6*G6</f>
        <v>68596235.363399997</v>
      </c>
      <c r="J6" s="30">
        <f>74763+55347+3023+911+319+383+15415+395+20476+3670+3557+18010+2666</f>
        <v>198935</v>
      </c>
      <c r="K6" s="30">
        <f>160227+11106+3487+2531+3432+25605+3453+25086+9962+5456+58372+1960+35+9116</f>
        <v>319828</v>
      </c>
      <c r="L6" s="31">
        <f>J6/K6</f>
        <v>0.62200620333429213</v>
      </c>
      <c r="M6" s="32">
        <f>L6*I6</f>
        <v>42667283.921413936</v>
      </c>
      <c r="N6" s="32">
        <f>M6/2</f>
        <v>21333641.960706968</v>
      </c>
      <c r="O6" s="32">
        <f>M6/2</f>
        <v>21333641.960706968</v>
      </c>
      <c r="P6" s="67">
        <f>((N6/2)*$O$2)+(N6/2)*$Q$2</f>
        <v>8341454.006636424</v>
      </c>
      <c r="Q6" s="67">
        <f>O6*$Q$2</f>
        <v>8501456.3213417269</v>
      </c>
    </row>
    <row r="7" spans="1:17" x14ac:dyDescent="0.2">
      <c r="A7" s="17">
        <v>450024</v>
      </c>
      <c r="B7" s="17">
        <v>1316936990</v>
      </c>
      <c r="C7" s="33" t="s">
        <v>37</v>
      </c>
      <c r="D7" s="34" t="s">
        <v>38</v>
      </c>
      <c r="E7" s="34" t="s">
        <v>39</v>
      </c>
      <c r="F7" s="35">
        <v>44834</v>
      </c>
      <c r="G7" s="36">
        <v>159.21</v>
      </c>
      <c r="H7" s="37">
        <v>98166.49</v>
      </c>
      <c r="I7" s="38">
        <f t="shared" si="0"/>
        <v>15629086.872900002</v>
      </c>
      <c r="J7" s="39">
        <f>4759+49803+1640+1340+1231</f>
        <v>58773</v>
      </c>
      <c r="K7" s="39">
        <f>65395+25231+4152+9999+3174</f>
        <v>107951</v>
      </c>
      <c r="L7" s="40">
        <f>J7/K7</f>
        <v>0.54444145955109258</v>
      </c>
      <c r="M7" s="41">
        <f t="shared" ref="M7:M14" si="1">L7*I7</f>
        <v>8509122.8685324974</v>
      </c>
      <c r="N7" s="41">
        <f t="shared" ref="N7:N14" si="2">M7/2</f>
        <v>4254561.4342662487</v>
      </c>
      <c r="O7" s="41">
        <f t="shared" ref="O7:O14" si="3">M7/2</f>
        <v>4254561.4342662487</v>
      </c>
      <c r="P7" s="13">
        <f>((N7/2)*$O$2)+(N7/2)*$Q$2</f>
        <v>1663533.5207981034</v>
      </c>
      <c r="Q7" s="13">
        <f t="shared" ref="Q7:Q14" si="4">O7*$Q$2</f>
        <v>1695442.7315551003</v>
      </c>
    </row>
    <row r="8" spans="1:17" x14ac:dyDescent="0.2">
      <c r="A8" s="23">
        <v>450039</v>
      </c>
      <c r="B8" s="23">
        <v>1992753222</v>
      </c>
      <c r="C8" s="24" t="s">
        <v>40</v>
      </c>
      <c r="D8" s="25" t="s">
        <v>41</v>
      </c>
      <c r="E8" s="25" t="s">
        <v>42</v>
      </c>
      <c r="F8" s="26">
        <v>44834</v>
      </c>
      <c r="G8" s="27">
        <v>222.69</v>
      </c>
      <c r="H8" s="28">
        <v>120493.26</v>
      </c>
      <c r="I8" s="29">
        <f t="shared" si="0"/>
        <v>26832644.069399998</v>
      </c>
      <c r="J8" s="30">
        <f>12495+65097+760+4202+3123+1815</f>
        <v>87492</v>
      </c>
      <c r="K8" s="30">
        <f>109317+10903+5000+11002+43879+38303+636+1967</f>
        <v>221007</v>
      </c>
      <c r="L8" s="31">
        <f t="shared" ref="L8:L14" si="5">J8/K8</f>
        <v>0.39587886356540741</v>
      </c>
      <c r="M8" s="32">
        <f t="shared" si="1"/>
        <v>10622476.64064914</v>
      </c>
      <c r="N8" s="32">
        <f t="shared" si="2"/>
        <v>5311238.3203245699</v>
      </c>
      <c r="O8" s="32">
        <f t="shared" si="3"/>
        <v>5311238.3203245699</v>
      </c>
      <c r="P8" s="67">
        <f t="shared" ref="P8:P14" si="6">((N8/2)*$O$2)+(N8/2)*$Q$2</f>
        <v>2076694.1832469068</v>
      </c>
      <c r="Q8" s="67">
        <f t="shared" si="4"/>
        <v>2116528.4706493411</v>
      </c>
    </row>
    <row r="9" spans="1:17" x14ac:dyDescent="0.2">
      <c r="A9" s="17">
        <v>450132</v>
      </c>
      <c r="B9" s="17">
        <v>1740273994</v>
      </c>
      <c r="C9" s="33" t="s">
        <v>43</v>
      </c>
      <c r="D9" s="34" t="s">
        <v>44</v>
      </c>
      <c r="E9" s="34" t="s">
        <v>45</v>
      </c>
      <c r="F9" s="35">
        <v>44834</v>
      </c>
      <c r="G9" s="36">
        <v>103.61</v>
      </c>
      <c r="H9" s="37">
        <v>98175.8</v>
      </c>
      <c r="I9" s="38">
        <f t="shared" si="0"/>
        <v>10171994.638</v>
      </c>
      <c r="J9" s="39">
        <f>1649+14601+84+105+835+2076+587+617</f>
        <v>20554</v>
      </c>
      <c r="K9" s="39">
        <f>48484+5940+5107+4455+3280+4666+358+919</f>
        <v>73209</v>
      </c>
      <c r="L9" s="40">
        <f t="shared" si="5"/>
        <v>0.28075783032140855</v>
      </c>
      <c r="M9" s="41">
        <f t="shared" si="1"/>
        <v>2855867.1446058815</v>
      </c>
      <c r="N9" s="41">
        <f t="shared" si="2"/>
        <v>1427933.5723029408</v>
      </c>
      <c r="O9" s="41">
        <f t="shared" si="3"/>
        <v>1427933.5723029408</v>
      </c>
      <c r="P9" s="13">
        <f t="shared" si="6"/>
        <v>558322.02677044983</v>
      </c>
      <c r="Q9" s="13">
        <f t="shared" si="4"/>
        <v>569031.52856272191</v>
      </c>
    </row>
    <row r="10" spans="1:17" x14ac:dyDescent="0.2">
      <c r="A10" s="23">
        <v>450133</v>
      </c>
      <c r="B10" s="23">
        <v>1255325817</v>
      </c>
      <c r="C10" s="24" t="s">
        <v>46</v>
      </c>
      <c r="D10" s="25" t="s">
        <v>47</v>
      </c>
      <c r="E10" s="25" t="s">
        <v>48</v>
      </c>
      <c r="F10" s="26">
        <v>44834</v>
      </c>
      <c r="G10" s="27">
        <v>10.6</v>
      </c>
      <c r="H10" s="28">
        <v>98175.81</v>
      </c>
      <c r="I10" s="29">
        <f t="shared" si="0"/>
        <v>1040663.5859999999</v>
      </c>
      <c r="J10" s="30">
        <f>2867+13728+37+1609+839+313</f>
        <v>19393</v>
      </c>
      <c r="K10" s="30">
        <f>40276+12160+5481+6927+1508</f>
        <v>66352</v>
      </c>
      <c r="L10" s="31">
        <f t="shared" si="5"/>
        <v>0.29227453580901858</v>
      </c>
      <c r="M10" s="32">
        <f t="shared" si="1"/>
        <v>304159.46653149865</v>
      </c>
      <c r="N10" s="32">
        <f t="shared" si="2"/>
        <v>152079.73326574932</v>
      </c>
      <c r="O10" s="32">
        <f t="shared" si="3"/>
        <v>152079.73326574932</v>
      </c>
      <c r="P10" s="67">
        <f t="shared" si="6"/>
        <v>59463.17570690799</v>
      </c>
      <c r="Q10" s="67">
        <f t="shared" si="4"/>
        <v>60603.773706401109</v>
      </c>
    </row>
    <row r="11" spans="1:17" x14ac:dyDescent="0.2">
      <c r="A11" s="17">
        <v>450213</v>
      </c>
      <c r="B11" s="17">
        <v>1821011248</v>
      </c>
      <c r="C11" s="33" t="s">
        <v>49</v>
      </c>
      <c r="D11" s="34" t="s">
        <v>50</v>
      </c>
      <c r="E11" s="42" t="s">
        <v>51</v>
      </c>
      <c r="F11" s="43">
        <v>44926</v>
      </c>
      <c r="G11" s="44">
        <v>518.46</v>
      </c>
      <c r="H11" s="45">
        <v>100755.12</v>
      </c>
      <c r="I11" s="38">
        <f t="shared" si="0"/>
        <v>52237499.515200004</v>
      </c>
      <c r="J11" s="46">
        <f>10726+96505+643+1002+106+3399+1776+276+1568</f>
        <v>116001</v>
      </c>
      <c r="K11" s="46">
        <f>147567+8782+13830+8892+17398+6516+3388+6141+4577+2298</f>
        <v>219389</v>
      </c>
      <c r="L11" s="47">
        <f t="shared" si="5"/>
        <v>0.52874574386136042</v>
      </c>
      <c r="M11" s="41">
        <f t="shared" si="1"/>
        <v>27620355.53862188</v>
      </c>
      <c r="N11" s="41">
        <f t="shared" si="2"/>
        <v>13810177.76931094</v>
      </c>
      <c r="O11" s="41">
        <f t="shared" si="3"/>
        <v>13810177.76931094</v>
      </c>
      <c r="P11" s="13">
        <f t="shared" si="6"/>
        <v>5399779.5078005772</v>
      </c>
      <c r="Q11" s="13">
        <f t="shared" si="4"/>
        <v>5503355.8410704099</v>
      </c>
    </row>
    <row r="12" spans="1:17" x14ac:dyDescent="0.2">
      <c r="A12" s="23">
        <v>450289</v>
      </c>
      <c r="B12" s="23">
        <v>1205900370</v>
      </c>
      <c r="C12" s="24" t="s">
        <v>52</v>
      </c>
      <c r="D12" s="25" t="s">
        <v>53</v>
      </c>
      <c r="E12" s="48" t="s">
        <v>54</v>
      </c>
      <c r="F12" s="49">
        <v>44620</v>
      </c>
      <c r="G12" s="50">
        <f>636.96+23.67</f>
        <v>660.63</v>
      </c>
      <c r="H12" s="51">
        <v>104060.94</v>
      </c>
      <c r="I12" s="29">
        <f t="shared" si="0"/>
        <v>68745778.792199999</v>
      </c>
      <c r="J12" s="52">
        <f>26018+79101+1077+1224+462+385+753+1859+566+3795+6397+5583+2868</f>
        <v>130088</v>
      </c>
      <c r="K12" s="52">
        <f>120121+7523+2317+2204+4538+9254+3241+6172+7365+6044+32570+4152</f>
        <v>205501</v>
      </c>
      <c r="L12" s="53">
        <f t="shared" si="5"/>
        <v>0.63302854973941736</v>
      </c>
      <c r="M12" s="32">
        <f t="shared" si="1"/>
        <v>43518040.64953316</v>
      </c>
      <c r="N12" s="32">
        <f t="shared" si="2"/>
        <v>21759020.32476658</v>
      </c>
      <c r="O12" s="32">
        <f t="shared" si="3"/>
        <v>21759020.32476658</v>
      </c>
      <c r="P12" s="67">
        <f t="shared" si="6"/>
        <v>8507776.9469837323</v>
      </c>
      <c r="Q12" s="67">
        <f t="shared" si="4"/>
        <v>8670969.5994194821</v>
      </c>
    </row>
    <row r="13" spans="1:17" x14ac:dyDescent="0.2">
      <c r="A13" s="17">
        <v>450352</v>
      </c>
      <c r="B13" s="17">
        <v>1598750721</v>
      </c>
      <c r="C13" s="33" t="s">
        <v>55</v>
      </c>
      <c r="D13" s="34" t="s">
        <v>56</v>
      </c>
      <c r="E13" s="34" t="s">
        <v>57</v>
      </c>
      <c r="F13" s="35">
        <v>44834</v>
      </c>
      <c r="G13" s="36">
        <v>5.92</v>
      </c>
      <c r="H13" s="45">
        <v>88341.94</v>
      </c>
      <c r="I13" s="38">
        <f t="shared" si="0"/>
        <v>522984.28480000002</v>
      </c>
      <c r="J13" s="39">
        <f>291+11825+134+384+445+192+50+151</f>
        <v>13472</v>
      </c>
      <c r="K13" s="39">
        <f>28456+5470+2818+2243+4817+4467+1187</f>
        <v>49458</v>
      </c>
      <c r="L13" s="40">
        <f t="shared" si="5"/>
        <v>0.27239273727202878</v>
      </c>
      <c r="M13" s="41">
        <f t="shared" si="1"/>
        <v>142457.12088692628</v>
      </c>
      <c r="N13" s="41">
        <f t="shared" si="2"/>
        <v>71228.560443463139</v>
      </c>
      <c r="O13" s="41">
        <f t="shared" si="3"/>
        <v>71228.560443463139</v>
      </c>
      <c r="P13" s="13">
        <f t="shared" si="6"/>
        <v>27850.367133394087</v>
      </c>
      <c r="Q13" s="13">
        <f t="shared" si="4"/>
        <v>28384.581336720061</v>
      </c>
    </row>
    <row r="14" spans="1:17" x14ac:dyDescent="0.2">
      <c r="A14" s="54">
        <v>450686</v>
      </c>
      <c r="B14" s="54">
        <v>1821087164</v>
      </c>
      <c r="C14" s="55" t="s">
        <v>58</v>
      </c>
      <c r="D14" s="56" t="s">
        <v>38</v>
      </c>
      <c r="E14" s="57" t="s">
        <v>59</v>
      </c>
      <c r="F14" s="58">
        <v>44926</v>
      </c>
      <c r="G14" s="59">
        <v>240.6</v>
      </c>
      <c r="H14" s="60">
        <v>100755.14</v>
      </c>
      <c r="I14" s="61">
        <f t="shared" si="0"/>
        <v>24241686.684</v>
      </c>
      <c r="J14" s="62">
        <f>1266+45734+754+99+95+1162+20+307+4021+918</f>
        <v>54376</v>
      </c>
      <c r="K14" s="62">
        <f>61946+34780+3589+4992+9941+1198+5513+23934+1965</f>
        <v>147858</v>
      </c>
      <c r="L14" s="63">
        <f t="shared" si="5"/>
        <v>0.36775825454151956</v>
      </c>
      <c r="M14" s="64">
        <f t="shared" si="1"/>
        <v>8915080.3820502367</v>
      </c>
      <c r="N14" s="64">
        <f t="shared" si="2"/>
        <v>4457540.1910251183</v>
      </c>
      <c r="O14" s="64">
        <f t="shared" si="3"/>
        <v>4457540.1910251183</v>
      </c>
      <c r="P14" s="67">
        <f t="shared" si="6"/>
        <v>1742898.2146908212</v>
      </c>
      <c r="Q14" s="67">
        <f t="shared" si="4"/>
        <v>1776329.7661235097</v>
      </c>
    </row>
    <row r="15" spans="1:17" ht="16.5" thickBot="1" x14ac:dyDescent="0.3">
      <c r="A15" s="5"/>
      <c r="B15" s="5"/>
      <c r="C15" s="6"/>
      <c r="D15" s="7"/>
      <c r="E15" s="5"/>
      <c r="F15" s="8"/>
      <c r="G15" s="8"/>
      <c r="H15" s="9" t="s">
        <v>60</v>
      </c>
      <c r="I15" s="9"/>
      <c r="J15" s="8"/>
      <c r="K15" s="10" t="s">
        <v>60</v>
      </c>
      <c r="L15" s="12" t="s">
        <v>61</v>
      </c>
      <c r="M15" s="11">
        <f>SUM(M6:M14)</f>
        <v>145154843.73282516</v>
      </c>
      <c r="N15" s="11">
        <f>SUM(N6:N14)</f>
        <v>72577421.86641258</v>
      </c>
      <c r="O15" s="11">
        <f>SUM(O6:O14)</f>
        <v>72577421.86641258</v>
      </c>
      <c r="P15" s="11">
        <f>SUM(P6:P14)</f>
        <v>28377771.949767314</v>
      </c>
      <c r="Q15" s="11">
        <f>SUM(Q6:Q14)</f>
        <v>28922102.613765419</v>
      </c>
    </row>
    <row r="16" spans="1:17" ht="15.75" thickTop="1" x14ac:dyDescent="0.2"/>
    <row r="18" spans="1:15" x14ac:dyDescent="0.2">
      <c r="N18" s="65"/>
      <c r="O18" s="65"/>
    </row>
    <row r="19" spans="1:15" x14ac:dyDescent="0.2">
      <c r="N19" s="65"/>
      <c r="O19" s="65"/>
    </row>
    <row r="20" spans="1:15" x14ac:dyDescent="0.2">
      <c r="A20" s="1" t="s">
        <v>60</v>
      </c>
      <c r="I20" s="3"/>
      <c r="O20" s="65"/>
    </row>
    <row r="21" spans="1:15" x14ac:dyDescent="0.2">
      <c r="A21" s="2" t="s">
        <v>60</v>
      </c>
    </row>
    <row r="22" spans="1:15" x14ac:dyDescent="0.2">
      <c r="A22" s="2" t="s">
        <v>60</v>
      </c>
    </row>
    <row r="23" spans="1:15" x14ac:dyDescent="0.2">
      <c r="A23" s="2" t="s">
        <v>60</v>
      </c>
    </row>
    <row r="24" spans="1:15" x14ac:dyDescent="0.2">
      <c r="A24" s="3" t="s">
        <v>60</v>
      </c>
    </row>
  </sheetData>
  <mergeCells count="1">
    <mergeCell ref="A1:D1"/>
  </mergeCells>
  <phoneticPr fontId="12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GME</vt:lpstr>
      <vt:lpstr>'Public GME'!Print_Area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2023-12-21T21:40:03Z</dcterms:created>
  <dcterms:modified xsi:type="dcterms:W3CDTF">2023-12-21T21:40:06Z</dcterms:modified>
  <cp:category/>
  <cp:contentStatus/>
</cp:coreProperties>
</file>